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compras\Documents\1. COORDINACIÓN B Y S\10. PROCESOS CONTRACTUALES\INTERVENTORIA CAPS SUBA\EVALUACIONES DEFINITIVAS 18-12-20\"/>
    </mc:Choice>
  </mc:AlternateContent>
  <xr:revisionPtr revIDLastSave="0" documentId="13_ncr:1_{248AC891-18BC-458C-A8A5-55FCE48651AD}" xr6:coauthVersionLast="36" xr6:coauthVersionMax="46" xr10:uidLastSave="{00000000-0000-0000-0000-000000000000}"/>
  <bookViews>
    <workbookView xWindow="0" yWindow="0" windowWidth="28800" windowHeight="12225" xr2:uid="{00000000-000D-0000-FFFF-FFFF00000000}"/>
  </bookViews>
  <sheets>
    <sheet name="EXPERIENCIA HABILITANTE" sheetId="12" r:id="rId1"/>
    <sheet name="PERSONAL MINIMO REQUERIDO" sheetId="13" r:id="rId2"/>
    <sheet name="EXPERIENCIA ESPECIFICA PROPONEN" sheetId="22" r:id="rId3"/>
    <sheet name="EXP ESPECIFICA ADICIONA  PROP" sheetId="23" r:id="rId4"/>
    <sheet name="APOYO INDUSTRIA NAC" sheetId="18" r:id="rId5"/>
    <sheet name="DISCAPACIDAD" sheetId="19" r:id="rId6"/>
    <sheet name="FACTOR ECONOMICO" sheetId="15" r:id="rId7"/>
    <sheet name="PUNTAJE GENERAL" sheetId="24" r:id="rId8"/>
  </sheets>
  <definedNames>
    <definedName name="ac">#REF!</definedName>
    <definedName name="_xlnm.Print_Area" localSheetId="0">'EXPERIENCIA HABILITANTE'!$A$1:$AY$50</definedName>
    <definedName name="_xlnm.Print_Area" localSheetId="1">'PERSONAL MINIMO REQUERIDO'!$A$1:$X$81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37" i="12" l="1"/>
  <c r="Y36" i="12" s="1"/>
  <c r="Z36" i="12" s="1"/>
  <c r="P37" i="12"/>
  <c r="Q37" i="12" s="1"/>
  <c r="V36" i="12"/>
  <c r="W36" i="12" s="1"/>
  <c r="S36" i="12"/>
  <c r="P36" i="12"/>
  <c r="Q36" i="12" s="1"/>
  <c r="E34" i="12"/>
  <c r="W33" i="12"/>
  <c r="P33" i="12"/>
  <c r="Q33" i="12" s="1"/>
  <c r="T33" i="12" s="1"/>
  <c r="P32" i="12"/>
  <c r="V31" i="12"/>
  <c r="Y31" i="12" s="1"/>
  <c r="S31" i="12"/>
  <c r="P31" i="12"/>
  <c r="Q31" i="12" s="1"/>
  <c r="T31" i="12" s="1"/>
  <c r="E29" i="12"/>
  <c r="V28" i="12"/>
  <c r="W28" i="12" s="1"/>
  <c r="U28" i="12"/>
  <c r="P28" i="12"/>
  <c r="Q28" i="12" s="1"/>
  <c r="T28" i="12" s="1"/>
  <c r="O28" i="12"/>
  <c r="V23" i="12"/>
  <c r="Y23" i="12" s="1"/>
  <c r="Z23" i="12" s="1"/>
  <c r="S23" i="12"/>
  <c r="P23" i="12"/>
  <c r="Q23" i="12" s="1"/>
  <c r="E21" i="12"/>
  <c r="W20" i="12"/>
  <c r="V20" i="12"/>
  <c r="P20" i="12"/>
  <c r="Q20" i="12" s="1"/>
  <c r="T20" i="12" s="1"/>
  <c r="Y19" i="12"/>
  <c r="Z19" i="12" s="1"/>
  <c r="V19" i="12"/>
  <c r="W19" i="12" s="1"/>
  <c r="S19" i="12"/>
  <c r="P19" i="12"/>
  <c r="Q19" i="12" s="1"/>
  <c r="T19" i="12" s="1"/>
  <c r="E17" i="12"/>
  <c r="V16" i="12"/>
  <c r="W16" i="12" s="1"/>
  <c r="P16" i="12"/>
  <c r="Q16" i="12" s="1"/>
  <c r="V15" i="12"/>
  <c r="W15" i="12" s="1"/>
  <c r="S15" i="12"/>
  <c r="Q15" i="12"/>
  <c r="T15" i="12" s="1"/>
  <c r="P15" i="12"/>
  <c r="E13" i="12"/>
  <c r="P12" i="12"/>
  <c r="U11" i="12"/>
  <c r="V11" i="12" s="1"/>
  <c r="W11" i="12" s="1"/>
  <c r="P11" i="12"/>
  <c r="Q11" i="12" s="1"/>
  <c r="T11" i="12" s="1"/>
  <c r="U10" i="12"/>
  <c r="V10" i="12" s="1"/>
  <c r="T10" i="12"/>
  <c r="S10" i="12"/>
  <c r="Q10" i="12"/>
  <c r="P10" i="12"/>
  <c r="E8" i="12"/>
  <c r="U7" i="12"/>
  <c r="V7" i="12" s="1"/>
  <c r="P7" i="12"/>
  <c r="Q7" i="12" s="1"/>
  <c r="V6" i="12"/>
  <c r="W6" i="12" s="1"/>
  <c r="S6" i="12"/>
  <c r="P6" i="12"/>
  <c r="Q6" i="12" s="1"/>
  <c r="A6" i="12"/>
  <c r="E5" i="12"/>
  <c r="Y15" i="12" l="1"/>
  <c r="Z15" i="12" s="1"/>
  <c r="AB15" i="12"/>
  <c r="R7" i="12"/>
  <c r="T7" i="12"/>
  <c r="AA31" i="12"/>
  <c r="W23" i="12"/>
  <c r="W31" i="12"/>
  <c r="AB31" i="12" s="1"/>
  <c r="AB23" i="12"/>
  <c r="AB19" i="12"/>
  <c r="T36" i="12"/>
  <c r="R36" i="12"/>
  <c r="Y6" i="12"/>
  <c r="Z6" i="12" s="1"/>
  <c r="W7" i="12"/>
  <c r="AB6" i="12" s="1"/>
  <c r="R37" i="12"/>
  <c r="T37" i="12"/>
  <c r="T6" i="12"/>
  <c r="AA6" i="12" s="1"/>
  <c r="R6" i="12"/>
  <c r="T16" i="12"/>
  <c r="R16" i="12"/>
  <c r="AA10" i="12"/>
  <c r="AA15" i="12"/>
  <c r="Y10" i="12"/>
  <c r="Z10" i="12" s="1"/>
  <c r="W10" i="12"/>
  <c r="AB10" i="12" s="1"/>
  <c r="AA19" i="12"/>
  <c r="R23" i="12"/>
  <c r="T23" i="12"/>
  <c r="AA23" i="12" s="1"/>
  <c r="R15" i="12"/>
  <c r="W37" i="12"/>
  <c r="AB36" i="12" s="1"/>
  <c r="H6" i="24"/>
  <c r="H9" i="24"/>
  <c r="H10" i="24"/>
  <c r="H5" i="24"/>
  <c r="AA36" i="12" l="1"/>
  <c r="J36" i="22"/>
  <c r="J34" i="22"/>
  <c r="J30" i="22"/>
  <c r="J31" i="22"/>
  <c r="J29" i="22"/>
  <c r="J24" i="22"/>
  <c r="J19" i="22"/>
  <c r="K19" i="22" s="1"/>
  <c r="J14" i="22"/>
  <c r="J10" i="22"/>
  <c r="J9" i="22"/>
  <c r="J4" i="22"/>
  <c r="K31" i="22" l="1"/>
  <c r="K30" i="22"/>
  <c r="K29" i="22"/>
  <c r="K10" i="22" l="1"/>
  <c r="K9" i="22"/>
  <c r="K36" i="22" l="1"/>
  <c r="K34" i="22"/>
  <c r="K24" i="22"/>
  <c r="K14" i="22"/>
  <c r="K4" i="22"/>
</calcChain>
</file>

<file path=xl/sharedStrings.xml><?xml version="1.0" encoding="utf-8"?>
<sst xmlns="http://schemas.openxmlformats.org/spreadsheetml/2006/main" count="1906" uniqueCount="529">
  <si>
    <t>NO CUMPLE</t>
  </si>
  <si>
    <t>No. PROPONENTE</t>
  </si>
  <si>
    <t>NOMBRE DEL PROPONENTE</t>
  </si>
  <si>
    <t>INTEGRANTES DEL PROPONENTE SI ES UT CONSORCIO U OTRO</t>
  </si>
  <si>
    <t>% DE PARTICIPACIÓN</t>
  </si>
  <si>
    <t>CERTIFICACIÓN NÚMERO</t>
  </si>
  <si>
    <t xml:space="preserve">EMPRESA QUE APORTA LA EXPERIENCIA </t>
  </si>
  <si>
    <t xml:space="preserve">VERIFICACIÓN OBJETO SIMILAR </t>
  </si>
  <si>
    <t>% PARTICIPACION DEL CONTRATO ACREDITADO</t>
  </si>
  <si>
    <t>FECHA INICIO</t>
  </si>
  <si>
    <t>PLAZO DE EJECUCIÓN EN MESES</t>
  </si>
  <si>
    <t>SMMLV (A LA FECHA DE INICIO DEL CONTRATO)</t>
  </si>
  <si>
    <t>SMMLV (A LA FECHA DE TERMINACION DEL CONTRATO)</t>
  </si>
  <si>
    <t>VALOR ACTUALIZADO CON SMMMLV (2019)</t>
  </si>
  <si>
    <t>FOLIO RUP</t>
  </si>
  <si>
    <t>OBSERVACIONES INDIVIDUALES EXPERIENCIA</t>
  </si>
  <si>
    <t>TOTAL EXPERIENCIA APORTADA POR PROPONENTE EXPRESADA EN SMMLV 2019</t>
  </si>
  <si>
    <t>VALIDACIÓN DE EXPERIENCIA EN SMMLV 2019</t>
  </si>
  <si>
    <t>INTEGRANTE</t>
  </si>
  <si>
    <t>VALOR EXPERIENCIA DE INTEGRANTE</t>
  </si>
  <si>
    <t>VALIDACIÓN EXPERIENCIA INTEGRANTE</t>
  </si>
  <si>
    <t>OBSERVACIONES INDIVIDUALES POR INTEGRANTE</t>
  </si>
  <si>
    <t>CUMPLIMIENTO GENERAL EXPERIENCIA</t>
  </si>
  <si>
    <t>OBSERVACIONES GENERALES</t>
  </si>
  <si>
    <t>Cumple</t>
  </si>
  <si>
    <t>No.  PROPONENTE</t>
  </si>
  <si>
    <t xml:space="preserve">FECHA TERMINACIÓN </t>
  </si>
  <si>
    <t>VERIFICACIÓN CUMPLIMIENTO CONTRATOS EJECUTADOS Y TERMINADOS A LA FECHA DE CIERRE</t>
  </si>
  <si>
    <t>VERIFICACIÓN EXPERIENCIA RUP</t>
  </si>
  <si>
    <t>Nombre del contratista a quien se le expide la certificación</t>
  </si>
  <si>
    <t>Número del contrato Y Objeto del contrato.</t>
  </si>
  <si>
    <t xml:space="preserve">fecha de inicio </t>
  </si>
  <si>
    <t xml:space="preserve">fecha de terminación </t>
  </si>
  <si>
    <t>Valor total ejecutado del contrato</t>
  </si>
  <si>
    <t>Relación de actividades ejecutadas</t>
  </si>
  <si>
    <t>Área intervenida cubierta en M2.</t>
  </si>
  <si>
    <t>Autorización del profesional correspondiente para presentar su hoja de vida.</t>
  </si>
  <si>
    <t>Fotocopia de la cédula de ciudadanía</t>
  </si>
  <si>
    <t>Fotocopia del título o acta de grado</t>
  </si>
  <si>
    <t>Fotocopia de la matrícula profesional o tarjeta profesional.</t>
  </si>
  <si>
    <t>Certificación COPNIA o CPNAA según el caso.</t>
  </si>
  <si>
    <t>ARQUITECTO O INGENIERO CIVIL CON MATRICULA PROFESIONAL VIGENTE.</t>
  </si>
  <si>
    <t>AREA CUBIERTA EN M2</t>
  </si>
  <si>
    <t>VALOR DEL CONTRATO EN PESOS COLOMBIANOS EJECUTADO</t>
  </si>
  <si>
    <t>PRESUPUESTO 
OFICIAL</t>
  </si>
  <si>
    <t>NOMBRE PROFESIONAL</t>
  </si>
  <si>
    <t>CUMPLE</t>
  </si>
  <si>
    <t>Con experiencia profesional general igual o superior a ocho (8) años, contados a partir de la fecha de expedición de la tarjeta profesional y hasta la fecha de cierre del presente proceso de selección</t>
  </si>
  <si>
    <t>Posgrado en cualquiera de las siguientes disciplinas: gerencia de proyectos, o relacionados con arquitectura, ingeniería civil o administración</t>
  </si>
  <si>
    <t xml:space="preserve">Empresa o entidad contratante, teléfono y nombre de la persona que expide la certificación. (Representante legal o la persona debidamente autorizada para el efecto).
</t>
  </si>
  <si>
    <t>PROPONENTE</t>
  </si>
  <si>
    <t>PUNTAJE OBTENIDO</t>
  </si>
  <si>
    <t>ITEM</t>
  </si>
  <si>
    <t>PUNTAJE A OTORGAR</t>
  </si>
  <si>
    <t>7.3. APOYO A LA INDUSTRIA NACIONAL</t>
  </si>
  <si>
    <t>CRITERIO SEGÚN LEY 816 DE 2003</t>
  </si>
  <si>
    <t>PUNTAJE MÁXIMO</t>
  </si>
  <si>
    <t>Ofertas de origen nacional</t>
  </si>
  <si>
    <t>10 PUNTOS</t>
  </si>
  <si>
    <t xml:space="preserve">Incentivo a la incorporación de componente nacional </t>
  </si>
  <si>
    <t>Hasta 5 PUNTOS</t>
  </si>
  <si>
    <t>1.- La persona natural, el representante legal de la persona jurídica o el revisor fiscal, según corresponda, certificará el número total de trabajadores vinculados a la planta de personal del proponente o sus integrantes a la fecha de cierre del proceso de selección.</t>
  </si>
  <si>
    <t>2. Acreditar el número mínimo de personas con discapacidad en su planta de personal, de conformidad con lo señalado en el certificado expedido por el Ministerio de Trabajo, el cual deberá estar vigente a la fecha de cierre del proceso de selección.</t>
  </si>
  <si>
    <t>1 PUNTO</t>
  </si>
  <si>
    <t>CIVILCO INGENIERIA S.A.S</t>
  </si>
  <si>
    <t>2C INGENIEROS S.A</t>
  </si>
  <si>
    <t>CONSORCIO GEINCO 05</t>
  </si>
  <si>
    <t>CONSORCIO INTERJAB 20</t>
  </si>
  <si>
    <t>CONTRUMARCA S.A.S</t>
  </si>
  <si>
    <t>FEYMA INGENIERIA S.A.S</t>
  </si>
  <si>
    <t>CONSORCIO CAPS SUBA</t>
  </si>
  <si>
    <t>12/18/2014</t>
  </si>
  <si>
    <t>11/30/2015</t>
  </si>
  <si>
    <t>SEGMENTO 80 FAMILA 10 CLASE 16 GERENCIA DE PROYECTOS</t>
  </si>
  <si>
    <t>SEGMENTO 95 FAMILA 12 CLASE 20 EDIFICIOS Y ESTRUCTURAS HOSPITALARIAS</t>
  </si>
  <si>
    <t>SEGMENTO 95 FAMILA 12 CLASE 23 EDIFICIO Y ESTRUCTURAS DE SALUD Y DEPORTIVAS</t>
  </si>
  <si>
    <t>AREA CUBIERTA EN M2 POR SU PORCENTAJE DE PARTICIPACIÓN</t>
  </si>
  <si>
    <t>CUMPLE
FOLIO 46 DE RUP</t>
  </si>
  <si>
    <t>SEGMENTO 81 FAMILIA 10 CLASE 15 INGENIERIA CIVIL</t>
  </si>
  <si>
    <t>CUMPLE
FOLIO 44 DE RUP</t>
  </si>
  <si>
    <t>SUMATORIA DE LAS AREAS CUBIETAS OBJETO DE INTERVENTORIA DEBE SER IGUAL O SUPERIOR A 1,5 VECES EL NUMERO DE 1796 M2 A INTERVENIR</t>
  </si>
  <si>
    <t>DIRECTOR DE INTERVENTORIA</t>
  </si>
  <si>
    <t>LUIS ABELARDO LEMUS CARDENAS</t>
  </si>
  <si>
    <t>ARQUITECTO
CUMPLE</t>
  </si>
  <si>
    <t xml:space="preserve">MAGISTER EN PLANEACION URBANA Y REGIONAL , PONTIFICIA UNIVERSIDAD JAVERIANA, FECHA DE GRADO 2/12/1994
CUMPLE
</t>
  </si>
  <si>
    <t>Matricula profesional vigente
6/10/2020
CUMPLE</t>
  </si>
  <si>
    <t>LAURA NATALIA PEREZ ALARCON</t>
  </si>
  <si>
    <t>N/A</t>
  </si>
  <si>
    <t>Con experiencia profesional general igual o superior a Cinco (5) años, contados a partir de la fecha de expedición de la tarjeta profesional y hasta la fecha de cierre del presente proceso de selección</t>
  </si>
  <si>
    <t xml:space="preserve">c.c 8.748.566
CUMPLE
</t>
  </si>
  <si>
    <t>c.c. 40.049.780
CUMPLE</t>
  </si>
  <si>
    <t>EXPERIENCIA</t>
  </si>
  <si>
    <t>Superior a 6000 m2</t>
  </si>
  <si>
    <t>N° CONTRATO</t>
  </si>
  <si>
    <t>OBJETO</t>
  </si>
  <si>
    <t>EJECUTOR</t>
  </si>
  <si>
    <t>% DE PARTICIPACION</t>
  </si>
  <si>
    <t>AREA CONSTRUIDA CUBIERTA M2</t>
  </si>
  <si>
    <t>Realizar la interventoría técnica, administrativa, ambiental, financiera y legal del contrato de obra pública para la terminación de la etapa II del Hospital Regional del Bajo Caucas- ESE Hospital César Uribe Piedrahita del municipio de Caucasia</t>
  </si>
  <si>
    <t>CONSORCIO CYC HOSPITALES</t>
  </si>
  <si>
    <t>CIVILCO INGENIERÍA S.A.S</t>
  </si>
  <si>
    <t>VALOR TOTAL EJECUTADO</t>
  </si>
  <si>
    <t>AREA CONSTRUIDA CUBIERTA M2 SEGÚN % DE PARTICIPACION</t>
  </si>
  <si>
    <t>$ 465.196 775.000</t>
  </si>
  <si>
    <r>
      <t xml:space="preserve">EXPERIENCIA ESPECIFICA </t>
    </r>
    <r>
      <rPr>
        <b/>
        <sz val="16"/>
        <color theme="1"/>
        <rFont val="Century Gothic"/>
        <family val="2"/>
      </rPr>
      <t>DIRECTOR</t>
    </r>
    <r>
      <rPr>
        <b/>
        <sz val="14"/>
        <color theme="1"/>
        <rFont val="Century Gothic"/>
        <family val="2"/>
      </rPr>
      <t xml:space="preserve"> </t>
    </r>
    <r>
      <rPr>
        <b/>
        <sz val="10"/>
        <color theme="1"/>
        <rFont val="Century Gothic"/>
        <family val="2"/>
      </rPr>
      <t>DE INTERVENTORIA</t>
    </r>
  </si>
  <si>
    <r>
      <t xml:space="preserve">EXPERIENCIA ESPECIFICA </t>
    </r>
    <r>
      <rPr>
        <b/>
        <sz val="16"/>
        <color theme="1"/>
        <rFont val="Century Gothic"/>
        <family val="2"/>
      </rPr>
      <t>RESIDENTE</t>
    </r>
    <r>
      <rPr>
        <b/>
        <sz val="10"/>
        <color theme="1"/>
        <rFont val="Century Gothic"/>
        <family val="2"/>
      </rPr>
      <t xml:space="preserve"> DE INTERVENTORIA</t>
    </r>
  </si>
  <si>
    <t>001-040
2015</t>
  </si>
  <si>
    <t>CONSORCIO INTERVENTORES NACIONALES</t>
  </si>
  <si>
    <t>LUIS ABALERDO LEMUS CARDENAS</t>
  </si>
  <si>
    <t>RESIDENTE DE INTERVENTORIA</t>
  </si>
  <si>
    <t>DGSM-059-2014</t>
  </si>
  <si>
    <t>CONSORCIO CVH</t>
  </si>
  <si>
    <t>PRESUPUESTO OFICIAL</t>
  </si>
  <si>
    <t>PRESUPUESTO PROPONENTE</t>
  </si>
  <si>
    <t>N° PROPONENTE</t>
  </si>
  <si>
    <t>$ 533.120.000</t>
  </si>
  <si>
    <t>GRUPO ESPECIALIZADO EN DESARROLLO DE INFRAESTRUCTURA S.A.S</t>
  </si>
  <si>
    <t>NOLHER RODOLFO ORJUELA PEDRAZA</t>
  </si>
  <si>
    <t>GRUPO ESPECIALIZADO EN DESARROLLO DE INFRAESTRUCTURA S.A.S- GEINCO S.A.S</t>
  </si>
  <si>
    <t>CUMPLE
FOLIO 74</t>
  </si>
  <si>
    <t>CUMPLE
FOLIO 75</t>
  </si>
  <si>
    <t>NOLHER ORJUELA PEDRAZA</t>
  </si>
  <si>
    <t>c.c. 79.576.109
CUMPLE</t>
  </si>
  <si>
    <t>INGENIERO CIVIL</t>
  </si>
  <si>
    <t>MARCO ANTONIO CASTILLO OLMOS</t>
  </si>
  <si>
    <t>C.C 79.888.447
CUMPLE</t>
  </si>
  <si>
    <t>AREA CUBIERTA EN M2 POR SU PORCENTAJE DE PARTICIPACIÓN CONSORCIO GEINCO 05</t>
  </si>
  <si>
    <t xml:space="preserve">CUMPLE
FOLIO 169
</t>
  </si>
  <si>
    <t>CUMPLE
FOLIO 170</t>
  </si>
  <si>
    <t>CUMPLE
FOLIO 171</t>
  </si>
  <si>
    <t>Cuya sumatorias de las arreas cubiertas sean superior a 4000 y hasta 6000 m2</t>
  </si>
  <si>
    <t>302/2015</t>
  </si>
  <si>
    <t>Grupo especializado en desarrollo de infraestructura S.A.S - Geinco S.A.S</t>
  </si>
  <si>
    <t>$ 32,450,000</t>
  </si>
  <si>
    <t>CARLOS AUGUSTO GIRALDO GALEANO</t>
  </si>
  <si>
    <t xml:space="preserve">ARQUITECTO </t>
  </si>
  <si>
    <t>c.c. 93.376.179
CUMPLE</t>
  </si>
  <si>
    <t>Universidad La Gran Colombia
CUMPLE</t>
  </si>
  <si>
    <t>N° 25202-138319
15/1272006
CUMPLE</t>
  </si>
  <si>
    <t>N° 25700-53727
19/01/1995</t>
  </si>
  <si>
    <t>ARQUITECTO</t>
  </si>
  <si>
    <t>WILMER EYESID JAIMES ABRIL</t>
  </si>
  <si>
    <t>Excavaciones, rellenos, concreto reforzado, mampostería, enchapes ….</t>
  </si>
  <si>
    <t>c.c. 91.517.850
CUMPLE</t>
  </si>
  <si>
    <t>Universidad de Pamplona
CUMPLE</t>
  </si>
  <si>
    <t>N° A68592009-91517850
04/06/2009</t>
  </si>
  <si>
    <t>264/2011</t>
  </si>
  <si>
    <t>UNION TEMPORAL SALUD ZIPAQUIRA</t>
  </si>
  <si>
    <t>$ 1.287.791.600</t>
  </si>
  <si>
    <t>CARLOS AUGUSTO GALEANO</t>
  </si>
  <si>
    <t>731/2019</t>
  </si>
  <si>
    <t>BERAKAH INGENIERIA S.A.S</t>
  </si>
  <si>
    <t>INGENIERIA MASTER S.A.S</t>
  </si>
  <si>
    <t>AREA CUBIERTA EN M2 POR SU PORCENTAJE DE PARTICIPACIÓN CAPS SUBA</t>
  </si>
  <si>
    <t>CUMPLE
FOLIO 69</t>
  </si>
  <si>
    <t xml:space="preserve">CUMPLE
FOLIO 69 </t>
  </si>
  <si>
    <t>CUMPLE
FOLIO 122</t>
  </si>
  <si>
    <t>691/2011</t>
  </si>
  <si>
    <t>CONSORCIO INTERHOSPITAL</t>
  </si>
  <si>
    <t>INGENIERIA INTEGRAL DE OBRAS INGEOBRAS S.A.S 
INEICA LTDA</t>
  </si>
  <si>
    <t>FRANCISCO AUGUSTO BERRIO MOGOLLON</t>
  </si>
  <si>
    <t>$ 759.268.512</t>
  </si>
  <si>
    <t>c.c 13.481.315
CUMPLE</t>
  </si>
  <si>
    <t>UNIVERSIDAD DE LOS ANDES</t>
  </si>
  <si>
    <t>N° 25700-40519
CUMPLE</t>
  </si>
  <si>
    <t>JULIAN ALBERTO GOMEZ MEJIA</t>
  </si>
  <si>
    <t>C.C 79.272.193 
CUMPLE</t>
  </si>
  <si>
    <t>UNIVERSIDAD CATOLICA DE COLOMBIA</t>
  </si>
  <si>
    <t>N° 25202-67131
CUMPLE</t>
  </si>
  <si>
    <t>691 DE 2011</t>
  </si>
  <si>
    <t>$ 797.285.332</t>
  </si>
  <si>
    <t>$ 2.814.933.047,2</t>
  </si>
  <si>
    <t xml:space="preserve"> CUMPLE</t>
  </si>
  <si>
    <t>VALOR A TENER EN CUENTA PESOS COLOMBIANOS
por % de participación Certificación Consorcio aportado</t>
  </si>
  <si>
    <t xml:space="preserve">VALOR A TENER EN CUENTA PESOS COLOMBIANOS
por % de participación </t>
  </si>
  <si>
    <t>VALOR EXPRESADO EN SMMLV
Fecha de terminación</t>
  </si>
  <si>
    <t>AREA CUBIERTA EN M2 POR SU PORCENTAJE DE PARTICIPACIÓN Certificación Consorcio aportada</t>
  </si>
  <si>
    <t xml:space="preserve">VALOR A TENER EN CUENTA PESOS COLOMBIANOS
por % de participación Consorcio GEINCO 05 </t>
  </si>
  <si>
    <t>Contratar la interventoría administrativa, financiera, técnica, contable, jurídica y ambiental al contrato de las adecuaciones  de las instalaciones físicas para la implementación de sala de crisis- nuse en la ciudad de Bogotá</t>
  </si>
  <si>
    <t>VALOR A TENER EN CUENTA PESOS COLOMBIANOS
por % de participación Consorcio CYC 2014</t>
  </si>
  <si>
    <t>VALOR A TENER EN CUENTA PESOS COLOMBIANOS
por % de participación Consorcio CAPS SUBA</t>
  </si>
  <si>
    <t>Matricula Profesión 
vigente
16/10/2020</t>
  </si>
  <si>
    <t>Debe acreditar experiencia específica certificada en la dirección o coordinación e interventoría de obras de construcción y/o ampliación y/o adecuación y/o reordenamiento de edificaciones hospitalarias, clínicas y/o instituciones prestadora de servicios de salud, máximo en 3 proyectos cuya sumatoria de áreas cubiertas sea igual o superior a 2694 m2</t>
  </si>
  <si>
    <t>En máximo tres (3) contratos cuya sumatoria de las áreas de construcción cubierta sea igual o superior a 2694 M2</t>
  </si>
  <si>
    <t>Fecha de expedición Tarjeta profesional
16/07/1992
CUMPLE</t>
  </si>
  <si>
    <t xml:space="preserve">Diseño y Construcciones de Obras Civiles y Arquitectónicas
Durley Vargas Neiza
Interventora
Tel: 3103249688 / 3124530136
</t>
  </si>
  <si>
    <t>La certificación no describe la relación de actividades ejecutadas, sin embargo referencia el objeto del contrato</t>
  </si>
  <si>
    <t>Universidad del Atlántico
25/10/1990
CUMPLE</t>
  </si>
  <si>
    <t>Matricula Profesión 08700-43097
16/07/1992
CUMPLE</t>
  </si>
  <si>
    <t>Debe acreditar experiencia específica certificada como residente de interventoría, en la construcción o ampliación o adecuación o reforzamiento estructural de edificaciones hospitalarias, clínicas y/o instituciones prestadoras de salud</t>
  </si>
  <si>
    <t>Fecha de expedición Tarjeta profesional
26/01/2004
CUMPLE</t>
  </si>
  <si>
    <t>CIVING Ingenieros 
-Contratistas, Residente de Interventoría
Realizar a actualización de los diseños de tallados definitivos de arquitectura e ingeniería y la terminación de las obras para la segunda etapa de la E.S.E Hospital San Francisco de Villa de Leyva en el municipio de Villa de Leyva</t>
  </si>
  <si>
    <t>CIVING ingenieros contratistas S.A.S
Natalia Ayala Galindo
Coordinadora Talento Humano
Trans 24 N° 59 07 Bogotá
3505561443 / 2491147</t>
  </si>
  <si>
    <t>N° contrato 137-2018
Realizar la actualización de los diseños detallados definitivos de arquitectura e ingeniería y la terminación de las obras para la segunda etapa de la E.S.E  Hospital San Francisco de Villa de Leyva en el municipio de Villa de Leyva</t>
  </si>
  <si>
    <t>Realizar la actualización de los diseños detallados definitivos de arquitectura e ingeniería y la terminación de las obras para la segunda etapa de la E.S.E  Hospital San Francisco de Villa de Leyva en el municipio de Villa de Leyva</t>
  </si>
  <si>
    <t>Fundación Universitaria de Boyacá 
11/12/2003</t>
  </si>
  <si>
    <t>Matricula Profesión 
A15012004-40049780
26/01/2004
CUMPLE</t>
  </si>
  <si>
    <t>Matricula Profesión 
vigente
6/11/2020
CUMPLE</t>
  </si>
  <si>
    <t>Fecha de expedición Tarjeta profesional
22/04/1998
CUMPLE</t>
  </si>
  <si>
    <t>INTERVENTORIA TECNICA Y ADMINISTRATIVA DEL HOSPITAL NAZARETH NIVEL 1 :
construcción de la infraestructura física para el centro de desarrollo del potencial humano del hospital Nazareth nivel 1 E.S.E ubicado en el corregimiento de Nazareth de la localidad de Sumapaz</t>
  </si>
  <si>
    <t>Hospital de Nazareth nivel 1 E.S.E
Gilberto Rodríguez Daza
Gerente
Tel: 2956353/ 4163490</t>
  </si>
  <si>
    <t>interventoría HN041/2006
construcción de la infraestructura física para el centro de desarrollo del potencial humano del hospital Nazareth nivel 1 E.S.E ubicado en el corregimiento de Nazareth de la localidad de Sumapaz</t>
  </si>
  <si>
    <t>Obras sanitarias, eléctricas, cimentación, mampostería….</t>
  </si>
  <si>
    <t>Universidad Católica de Colombia
CUMPLE</t>
  </si>
  <si>
    <t>Matricula Profesión 
25700-71479
22/04/1998
CUMPLE</t>
  </si>
  <si>
    <t>Matricula Profesión 
vigente
28/09/2020
CUMPLE</t>
  </si>
  <si>
    <t>Interventoría técnica , administrativa , financiera, jurídica y ambiental al proyecto: reposición de la infraestructura de los centros de salud "7 trojes y el Hato" del municipio de Funza Cundinamarca</t>
  </si>
  <si>
    <t>Alcaldía de Funza
Inocencio Villamil
Secretario de Infraestructura
cra 14 # 13 05 Funza
Tel:8263311</t>
  </si>
  <si>
    <t>0505/2016
Interventoría técnica , administrativa , financiera, jurídica y ambiental al proyecto: reposición de la infraestructura de los centros de salud "7 trojes y el Hato" del municipio de Funza Cundinamarca</t>
  </si>
  <si>
    <t>Interventoría técnica y administrativa en la construcción del centro de salud PAIME.</t>
  </si>
  <si>
    <t>Construcciones y Consultorías Gutiérrez y CIA LTDA</t>
  </si>
  <si>
    <t xml:space="preserve">
Interventoría técnica y administrativa en la construcción del centro de salud PAIME.</t>
  </si>
  <si>
    <t>No se ven relacionadas las actividades pero el objeto del contrato cumple</t>
  </si>
  <si>
    <t xml:space="preserve">Fecha de expedición Tarjeta profesional
15/12/2006
CUMPLE
</t>
  </si>
  <si>
    <t>Realizar la interventoría técnica y administrativa a la construcción de obras civiles y arquitectónicas en los pisos 2, 4, 6, 8 y 10 del edificio centro medico Dalí</t>
  </si>
  <si>
    <t>Luis Augusto Vela Torres
calle 77 # 14 19 oficina 201
tel.: 6165340</t>
  </si>
  <si>
    <t>Matricula Profesión 
vigente
25/11/2020
CUMPLE</t>
  </si>
  <si>
    <t>Fecha de expedición Tarjeta profesional
19/01/1995</t>
  </si>
  <si>
    <t>Municipio de la Gajua de Ibirico
Pedro Mauricio Beltrán Dulcey
Representante Legal consorcio interventorías del Cesar
cra 11 # 33 36 centro Bucaramanga
tel.: 6422211</t>
  </si>
  <si>
    <t>080/2010
adecuación mejoramiento y construcción de la sede principal del Hospital Jorge Isaac Rincón Torres  y construcción de los centros de Salud en los corregimientos de la Victoria de San Isidro, la Palmita y Boquerón en el municipio de la Gajua de Ibirico</t>
  </si>
  <si>
    <t>Matricula Profesión 
vigente
20/10/2020</t>
  </si>
  <si>
    <t>Fecha de expedición Tarjeta profesional
04/06/2009</t>
  </si>
  <si>
    <t>Interventoría técnica, administrativa y financiera de las obras del FCV- complejo medico, supervisión técnica obra estructural</t>
  </si>
  <si>
    <t xml:space="preserve">Pedro Alonso Ballesteros Miranda
Gerente de Proyecto Obras FCV
tel:6399292
km 7 autopista Bucaramanga - Piedecuesta 
</t>
  </si>
  <si>
    <t>Matricula Profesión 
vigente
07/10/2020</t>
  </si>
  <si>
    <t>Fecha de expedición Tarjeta profesional
19/09/1991</t>
  </si>
  <si>
    <t>ingeniería master s.a.s
Alberto Antonio Morales Sibaja
representante legal
calle 74 # 56 36 oficina 404 Barranquilla
3174004806</t>
  </si>
  <si>
    <t>interventoría técnica financiera jurídica y ambiental , redes de gases medicinales, cielorrasos, electricidad ….</t>
  </si>
  <si>
    <t>Fecha de expedición Tarjeta profesional
21/08/1997</t>
  </si>
  <si>
    <t>AREA CUBIERTA EN M2 POR SU PORCENTAJE DE PARTICIPACIÓN CONTRUMARCA S.A.S</t>
  </si>
  <si>
    <t>Cuya sumatorias de las áreas cubiertas sean superior a 2694 y hasta 4000 m2</t>
  </si>
  <si>
    <t>Cuya sumatorias de las áreas cubiertas sean superior a 4000 y hasta 6000 m2</t>
  </si>
  <si>
    <t>Interventoría técnica, administrativa, financiera y jurídica del contrato 252/2015, cuyo objeto es:
adecuación de la infraestructura física del Hospital Nuestra señora de las Mercedes ubicado en el Municipio de Funza Cundinamarca</t>
  </si>
  <si>
    <t>Experiencia requerida Proponente:
NO será tenida en cuenta ya que los integrantes del consorcio que figuran en la propuesta económica no hacen parte del consorcio CAPS SUBA</t>
  </si>
  <si>
    <t>Cuya sumatorias de las arreas cubiertas sean superior a 2694 y hasta 4000 m2</t>
  </si>
  <si>
    <t>Contratar la interventoría técnica , financiera, jurídica, administrativa y ambiental de obra para la construcción del establecimiento de sanidad militar ubicado en la ciudad de Santiago de Cali- Valle del Cauca</t>
  </si>
  <si>
    <t>Presenta Certificado de existencia y representación legal, empresa inscrita el 7 de Enero de 2010, con domicilio principal en calle 45a # 51 47 Bogotá- Cundinamarca y representada legalmente por Clemente Alfredo Buitrago Amarillo con CC 19483980</t>
  </si>
  <si>
    <r>
      <t>Presenta Certificado de existencia y representación legal, empresa inscrita el</t>
    </r>
    <r>
      <rPr>
        <sz val="11"/>
        <color theme="1"/>
        <rFont val="Calibri"/>
        <family val="2"/>
        <scheme val="minor"/>
      </rPr>
      <t xml:space="preserve"> 2004/12/03, representada legalmente por Pedro Mauricio Beltrán Dulcey con CC 91.158.371</t>
    </r>
  </si>
  <si>
    <t>Presenta certificación con fecha de expedición 30 de noviembre de 2020, firmada por el representante legal y contadora publica de CIVILCO INGENIERIA S.A.S, con su planta de personal y personal en condición de discapacidad que actualmente tiene esta empresa.</t>
  </si>
  <si>
    <t>Presenta certificación con fecha de expedición 30 de noviembre de 2020, firmada por el representante legal y revisor Fiscal, con su planta de personal y personal en condición de discapacidad que actualmente tiene esta empresa.</t>
  </si>
  <si>
    <t>Presenta certificación con fecha de expedición 30 de noviembre de 2020, firmada por el  revisor Fiscal, con su planta de personal y personal en condición de discapacidad que actualmente tiene esta empresa.</t>
  </si>
  <si>
    <t>Presenta certificado de vinculación de trabajadores con discapacidad emitido por  COORDINADORA DEL GRUPO DE ATENCIÓN AL CIUDADANO Y TRÁMITES DE LA DIRECCION TERRITORIAL DE CUNDIINAMARCA del Ministerio del Trabajo
Número de Trabajadores: 7 personas
Número de trabajadores con discapacidad: 1 
Fecha de expedición 18 de Septiembre de 2020
Vigencia: 6 Meses</t>
  </si>
  <si>
    <t>Presenta certificado de vinculación de trabajadores con discapacidad emitido por  COORDINADORA DEL GRUPO DE ATENCIÓN AL CIUDADANO Y TRÁMITES DE LA DIRECCION TERRITORIAL DE CUNDIINAMARCA del Ministerio del Trabajo
Número de Trabajadores: 9 personas
Número de trabajadores con discapacidad: 1 
Fecha de expedición 12 de Agosto de 2020
Vigencia: 6 Meses</t>
  </si>
  <si>
    <t>Interventoría técnica , administrativa, financiera , contable, jurídica y ambiental a los contratos de mantenimiento de los centros de salud san Rafael, Girardot, Kennedy, Bucaramanga, Campohermoso, la joya y la libertad de Bucaramanga en virtud de convenio interadministrativo n° 152 de 2019</t>
  </si>
  <si>
    <t>Interventoría técnica, jurídica, administrativa, financiera del contrato cuyo objeto es el diseño, construcción, tramites, dotación y equipos de un establecimiento de sanidad militar conjunto farc-arc de mediana complejidad en Bogotá D.C</t>
  </si>
  <si>
    <t>Interventoría técnica y supervisión administrativa, financiera , contable y jurídica para la construcción de la fase 2 del hospital de tercer nivel con servicios de cuarto nivel en el municipio de Zipaquirá departamento de Cundinamarca</t>
  </si>
  <si>
    <t>Interventoría técnica a las obras de construcción y dotación de la unidad materno infantil y mantenimiento de las unidades de apoyo ubicadas en el bloque B de la e.s.e hospital san Jerónimo de Montería</t>
  </si>
  <si>
    <t>Contratar la interventoría técnica administrativa, financiera y legal de obras de infraestructura educativa con los siguientes proyectos y alcances.</t>
  </si>
  <si>
    <t>Interventoría técnica, administrativa, financiera, jurídica y ambiental al proyecto: reposición de la infraestructura de los centros de salud "siete trojes y el hato" del municipio de Funza Cundinamarca</t>
  </si>
  <si>
    <t>Presenta certificación con fecha de expedición 27 de noviembre de 2020, firmada por el representante legal, con su planta de personal y personal en condición de discapacidad que actualmente tiene esta empresa.</t>
  </si>
  <si>
    <t>Presenta certificado de vinculación de trabajadores con discapacidad emitido por  COORDINADORA DEL GRUPO DE ATENCIÓN AL CIUDADANO Y TRÁMITES DE LA DIRECCION TERRITORIAL DE CUNDIINAMARCA del Ministerio del Trabajo
Número de Trabajadores: 2 personas
Número de trabajadores con discapacidad: 1 
Fecha de expedición 15 de Septiembre de 2020
Vigencia: 6 Meses</t>
  </si>
  <si>
    <t>Interventoría técnica, administrativa y contable a los estudios, diseños y obras de construcción de la nueva clínica universitaria medicina integral, ubicada en la calle 44 # 14 282 zona urbana de la ciudad de Montería</t>
  </si>
  <si>
    <t>01 de 2016
Interventoría técnica, administrativa y contable a los estudios, diseños y obras de construcción de la nueva clínica universitaria medicina integral, ubicada en la calle 44 # 14 282 zona urbana de la ciudad de Montería</t>
  </si>
  <si>
    <t>Interventoría técnica y supervisión administrativa, financiera, contable y jurídica para la construcción de la fase 2 del hospital de tercer nivel con servicios de cuarto nivel en el municipio de Zipaquirá departamento de Cundinamarca</t>
  </si>
  <si>
    <t>Interventoría técnica de las obras de construcción y dotación de la unidad materno infantil y mantenimiento de las unidades de apoyo ubicadas en el bloque b de la e.s.e hospital san Jerónimo de Montería</t>
  </si>
  <si>
    <t>CONSTRUMARCA S.A.S</t>
  </si>
  <si>
    <t>Interventoría técnica, administrativa y financiera para la construcción de un bloque de 2 pisos para 8 aulas escolares y dos baterías sanitarias, en la institución educativa municipal Luis Carlos Galán Sarmiento en Fusagasugá</t>
  </si>
  <si>
    <t>CESAR ASHLEY MORA BARNEY</t>
  </si>
  <si>
    <t>CONTRATO No. 182 DISAN EJC 2011</t>
  </si>
  <si>
    <t>083-DISAN-2011</t>
  </si>
  <si>
    <t>2c Ingenieros SAS</t>
  </si>
  <si>
    <t>CUMPLE
Folio 45 RUP</t>
  </si>
  <si>
    <t>No aparece</t>
  </si>
  <si>
    <t>CUMPLE 
Folio 51 RUP</t>
  </si>
  <si>
    <t>UNIMINUTO
Especialista en Gerencia de Proyectos
27 Nov 2012</t>
  </si>
  <si>
    <t>CUMPLE - Mas de 30 años de experiencia general</t>
  </si>
  <si>
    <t>Coordinador de Interventoría,</t>
  </si>
  <si>
    <t>CONSORCIO BAHIA SOLANO - 1
CRA 4 No. 58 - 59 OFICINA 301 TELEFONO 4 80 11 94</t>
  </si>
  <si>
    <t>CESAR MORA BARNEY</t>
  </si>
  <si>
    <t>CUMPLE
C.C. 19.356.176</t>
  </si>
  <si>
    <t>CUMPLE
UNIVERSIDAD MILITAR NUEVA GRANADA
Ingeniero Civil 
13 de diciembre de 1985</t>
  </si>
  <si>
    <t>CUMPLE 
No 25202-21496
Expedida el 22 de mayo de 1986</t>
  </si>
  <si>
    <t>CUMPLE
No registra antecedentes 
Exp. 10 de Julio de 2020</t>
  </si>
  <si>
    <t>COORDINADOR DE INTERVENTORÍA</t>
  </si>
  <si>
    <t>CONSORCIO SANIDAD 2011
Cra. 4 No. 58 – 59 Of. 301 Tel.: 57+ 0 ( ) 1 + 480 11 94 – 57 + 03 + 313 262 56 59</t>
  </si>
  <si>
    <t>31.01.2012</t>
  </si>
  <si>
    <t>JAVIER ALBERTO SUAREZ SARMINETO</t>
  </si>
  <si>
    <t>CUMPLE - Mas de 10 años de experiencia general</t>
  </si>
  <si>
    <t>RESIDENTE DE
INTERVENTORÍA,</t>
  </si>
  <si>
    <t>2C INGENIEROS S.A.Cra. 4 No. 58 – 59 Of. 301 Tel.: 57+ 0 ( ) 1 + 480 11 94 – 57 + 03 + 313 262 56 59</t>
  </si>
  <si>
    <t>JAVIER ALBERTO SUAREZ SARMIENTO</t>
  </si>
  <si>
    <t>Preliminares, mampostería, instalaciones
hidrosanitarias, instalaciones eléctricas, telefónicas y
comunicaciones, carpintería metálica, pisos,
estructura metálica para cubierta.</t>
  </si>
  <si>
    <t>CUMPLE
C.C. 7.187-427</t>
  </si>
  <si>
    <t>CUMPLE
UNIVERSIDAD PEDAGOGICA Y TECNOLOGICA DE COLOMBIA
Ingeniero Civil 
6 de diciembre de 2007</t>
  </si>
  <si>
    <t>CUMPLE 
No 15202-150322
Expedida el 24 de enero de 2008</t>
  </si>
  <si>
    <t>CUMPLE
No registra antecedentes 
Exp. 10 de sept 2020</t>
  </si>
  <si>
    <t>372-13
EMPRESA DE DESARROLLO URBANO - EDU
2015</t>
  </si>
  <si>
    <t>Presenta Certificado de existencia y representación legal, empresa inscrita el 1 de NOVIEMBRE DE 1996, con domicilio principal en Bogota D.C. y representada legalmente por Cesar Ashley Mora Barney con CC 19356176</t>
  </si>
  <si>
    <t>JORGE ALVARO SANCHEZ BLANCO</t>
  </si>
  <si>
    <t>JORGE ALVARO SANCHEZ BLANCO Y CIA</t>
  </si>
  <si>
    <t>JORGE ALVARO SANCHEZ BLANCO - 10%
JORGE ALVARO SANCHEZ BLANCO Y CIA - 90%</t>
  </si>
  <si>
    <t xml:space="preserve">VALOR A TENER EN CUENTA PESOS COLOMBIANOS
por % de participación Consorcio </t>
  </si>
  <si>
    <t>CUMPLE
Folio 64 RUP JASB
Folio 42 RUP JASB y CIA</t>
  </si>
  <si>
    <t>ESTEBAN DAVID MARTINEZ GUERRERO</t>
  </si>
  <si>
    <t>CUMPLE : Más de 5 años de Experiencia General</t>
  </si>
  <si>
    <t>13-04.2012</t>
  </si>
  <si>
    <t>5400 M2</t>
  </si>
  <si>
    <t>CUMPLE
C.C. 1085276370</t>
  </si>
  <si>
    <t>CUMPLE
INSTITUCION UNIVERSITARIA CENTRO DE ESTUDIOS SUPERIORES MARIA GORETTI CESMAD
Arquitecto
23 de Sept 2011</t>
  </si>
  <si>
    <t>CUMPLE 
No A143012011-1085276370
Expedida el 3 de Nov de 2011</t>
  </si>
  <si>
    <t>CUMPLE
No registra antecedentes 
Exp. 22 de Oct 2020</t>
  </si>
  <si>
    <t>OSCAR EDUARDO GOMEZ CHACON</t>
  </si>
  <si>
    <t>UNIMINUTO
Especialista en Gerencia de Proyectos
13 Agosto de 2016
CUMPLE</t>
  </si>
  <si>
    <t>CUMPLE - Mas de 20 años de experiencia general</t>
  </si>
  <si>
    <t>CARLOS EDUARDO GOMEZ CHACON</t>
  </si>
  <si>
    <t>CUMPLE
UNIVERSIDAD NACIONAL DE COLOMBIA
Ingeniero Civil 
14 de Agosto de 1998</t>
  </si>
  <si>
    <t>CUMPLE 
No 2520273852CND
Expedida el 24 de Sept 1998</t>
  </si>
  <si>
    <t>CUMPLE
No registra antecedentes 
Exp. 23 de Nov de 2020</t>
  </si>
  <si>
    <t>CUMPLE
C.C. 79715010</t>
  </si>
  <si>
    <t>CONSORCIO SANCHEZ</t>
  </si>
  <si>
    <t>OSCAR GOMEZ CHACON</t>
  </si>
  <si>
    <t>Presenta certificado de matricula de persona natural de la camara de comercio de Bogota, con fundamento en la matricula e inscripcion del registro mercantil
JORGE ALVARO SANCHEZ BLANCO
C.C. 79.785.874
MATRICULA NO : 00984056 DEL 4 DE ENERO DE 2000
DIRECCION DE NOTIFICACION JUDICIAL : KR 42 NO 24 A - 54
MUNICIPIO : BOGOTÁ D.C.</t>
  </si>
  <si>
    <t>Presenta Certificado de Existencia y Representacion Legal 
Fecha Expedición: 13 de noviembre de 2020
Razón social: JORGE ALVARO SANCHEZ B Y CIA S.A.S
Nit: 860.527.441-8
Domicilio principal: Bogotá D.C.</t>
  </si>
  <si>
    <t>Contrato de interventoria 372 de 2013</t>
  </si>
  <si>
    <t>Interventoria tecnica, administrativa………..para la construccion del Centro Integral de Servicios ambulartorios para la mujer y la familia en el municipio de Medellin</t>
  </si>
  <si>
    <t>2C Ingenieros SAS</t>
  </si>
  <si>
    <t>NOTA: NO SE OTORGA PUNTAJE, EL PROPONENTE NO FUE HABILITADO</t>
  </si>
  <si>
    <t>CONTRATO 254 DE 2011</t>
  </si>
  <si>
    <t>Interventoria tecnica, administrativa……….. Para el mantenimiento y/o adecuacion de los establecimientos de sanidad militar ……..</t>
  </si>
  <si>
    <t>2846 M2
NOTA, EN LA CERTIFICACION NO APARECIA EL AREA CUBIERTA, EL PROPONENTE ANEXO ACTA DE LIQUIDACION DONDE APARECIA CANTIDAD DE M2 DE CUBIERTA EJECUTADA</t>
  </si>
  <si>
    <t>Contrato 733 de 2013</t>
  </si>
  <si>
    <t>$ 760.024.316</t>
  </si>
  <si>
    <t>30%
Adjunta documento de conformación consorcial</t>
  </si>
  <si>
    <t>Actividades preliminares, arquitectónicas, eléctrico, cimentación y estructura, hidrosanitario y gas</t>
  </si>
  <si>
    <t>La certificación Anexa no establece el Área cubierta construida dentro del contrato, el proponente Anexa Acta de recibo final de obra del contrato objeto de la interventoría realizada, este documento relaciona por frentes de trabajo el No 5 Rancho de tropa y comedor,  No 6 Comando y No 7 Alojamiento de tropa, frente No 8 Alojamiento de Cuadros, Frente No 9 Guardia..... El equipo evaluador estimo el área cubierta construida con los siguientes datos:
F 5: 953,8 M2 + 634,9 M2
F 6: 284,55 M2
F 7: 715,73 M2
F 8: 321,47 M2
F9: 97,4 M2
TOTAL: 3007,85 m2</t>
  </si>
  <si>
    <t>En la certificación presentada por el proponente no aparece la descripción de actividades, anexan acta de recibo final del contrato de obra objeto de interventoría.</t>
  </si>
  <si>
    <t>Contrato de interventoría 1418 de 2010</t>
  </si>
  <si>
    <t>Nota: se solicitaba máximo dos certificaciones, por tal razón esta certificación no se tiene en cuenta.</t>
  </si>
  <si>
    <t>Interventoría técnica, administrativa para las obras de construcción del Hospital Cabecera Municipal de Bahía Solano (choco)</t>
  </si>
  <si>
    <t>182  DISANEJC de 2011 la interventoría técnica, administrativa, financiera y contable para la "adecuación de la construcción de los hospitales militares, nivel 11, regional Bucaramanga, Medellín y Tolemaida</t>
  </si>
  <si>
    <t>Levantamiento Topográfico, Movimientos De Tierra, Obras De Urbanismo: Sardineles Andenes, Sumideros De Aguas Lluvias, Sobre acarreos, Material De Subbase Y Base, Pavimentos Flexible Tipo Mdc-2, Preliminares, Localización Y Replanteo, Cimientos, Estructuras De Concreto, Estructuras Metálicas De Cubierta, Cubiertas En Teja  arquitectónica, Mampostería, Instalaciones: Sanitarias, Hidráulicas, Eléctricas, De Televisión Y Sonido, Sistema De Llamado De Enfermeras, Gases Medicinales, Equipos Especiales: Calderas, Plantas De Generación Eléctrica, Cocina, Lavandería Y Planchado, Sistema Contra Incendio; Acabados Arquitectónicos: Pañetes, Pintura, Enchapes, Pisos,
Carpintería Metálica Y De Madera, Cielo Rasos, Aparatos Y Accesorios Sanitarios, Vidrios Y Espejos, Aseo General.</t>
  </si>
  <si>
    <t>Coordinador de Interventoría</t>
  </si>
  <si>
    <t>CONSTRUCTORA AHA LTDA
Calle 107 A No 8.22 Tel 2144900 - Bogotá</t>
  </si>
  <si>
    <t>$123.730.500
Nota: No coincide valor en numero con valor en letras, se escribe valor en letra.</t>
  </si>
  <si>
    <t>Excavación, cimentación, desagües, instalaciones subterráneas, estructura en concreto reforzado, mampostería, instalación hidráulica, sanitaria y gas……..</t>
  </si>
  <si>
    <t>Residente de Interventoría</t>
  </si>
  <si>
    <t>No Contrato: No aparece en certificación
Objeto: Interventoría de la ejecución de las obras de construcción y adecuaciones menores de las Instituciones Publicas prestadoras de Servicios de Salud Afectadas por la ola invernal……………..</t>
  </si>
  <si>
    <t>Realizo El Seguimiento Técnico, Financiero Y Jurídico Al Proyecto, La Aprobación De Cortes De Obra, Coordinación Comités Con Las Partes Vinculadas En El Proyecto Y liquidación Del Contrato.</t>
  </si>
  <si>
    <t>Contrato no. 083- arc-disan-2011objeto del contrato: interventoría jurídica, técnica, administrativa, financiera y contable de la construcción a precios unitarios fijos y sin reajuste de la segunda fase del establecimiento de sanidad de la primera brigada de infantería de marina (Corozal, Sucre).</t>
  </si>
  <si>
    <t>Interventoría técnica, administrativa…………. para el reforzamiento estructural del ese hospital San Rafael de Tunja</t>
  </si>
  <si>
    <t>Unión temporal salud Zipaquirá</t>
  </si>
  <si>
    <t>Interventoría técnica, administrativa, financiera, legal y ambiental para la construcción del centro integral de servicios ambulatorios para la mujer y la familia en el municipio de Medellín.</t>
  </si>
  <si>
    <t>Director de interventoría (interventoría técnica, administrativa y financiera ….. del reforzamiento estructural de la ese hospital San Rafael de Tunja)</t>
  </si>
  <si>
    <t xml:space="preserve"> $ 760.024.316</t>
  </si>
  <si>
    <t>YOLANDA GIRALDO
ARQUITECTA</t>
  </si>
  <si>
    <t>Consorcio Inter hospital</t>
  </si>
  <si>
    <t>Cto 733 de 2013
ESE SAN RAFAEL
NOTA: No aparece en certificación, el proponente anexo este contrato como experiencia especifica del proponente</t>
  </si>
  <si>
    <t xml:space="preserve">Presenta Certificado de existencia y representación legal, empresa inscrita el 15/12/2014, representada legalmente por Nolher Rodolfo Orjuela Pedraza con CC 79.576.109 </t>
  </si>
  <si>
    <t xml:space="preserve">Presenta Certificado de existencia y representación legal, empresa inscrita el 26/11/2020, representada legalmente por  Jose Vicente Bocanegra Garcia con C.C. 73.138.660 </t>
  </si>
  <si>
    <t>9 Meses</t>
  </si>
  <si>
    <t>19 Meses</t>
  </si>
  <si>
    <t>5 Meses</t>
  </si>
  <si>
    <t>CUMPLE
Folio 600 RUP</t>
  </si>
  <si>
    <t>CUMPLE
Folio 601 RUP</t>
  </si>
  <si>
    <t>CUMPLE
Folio 783 RUP</t>
  </si>
  <si>
    <t>CUMPLE
Folio 784 RUP</t>
  </si>
  <si>
    <t>CUMPLE
Folio 826 RUP</t>
  </si>
  <si>
    <t>JULIO CESAR LAVERDE NIÑO</t>
  </si>
  <si>
    <t>ESCUELA COLOMBIANA DE INGENIERIA JULIO GARAVITO
Especialista en Gerencia de Proyectos
6 de Septiembre 2011
CUMPLE</t>
  </si>
  <si>
    <t>Excavacion, cimentacion, desagues, instalaciones subterraneas, estructura en concreto reforzado, mamposteria, instalacion hidraulica, sanitaria y gas……..</t>
  </si>
  <si>
    <t>FERNANDO ABEL FUERTE MORENO</t>
  </si>
  <si>
    <t>Ingeniero Civil</t>
  </si>
  <si>
    <t>CUMPLE
Mas de 30 años de experiencia general</t>
  </si>
  <si>
    <t>Residente de INTERVENTORIA</t>
  </si>
  <si>
    <t>NO CUMPLE con construcción o ampliación o adecuación o reforzamiento estructural de edificaciones hospitalarias, clínicas y/o instituciones prestadoras de servicios de salud</t>
  </si>
  <si>
    <t>CONSORCIO FEYMA ASOCIADOS
Calle 18 N0 0-22 Mocoa Putumato
La certificacion la expide el representate legal, quien es el mismo residente de interventoria, esta situacion no es permitida en los pliegos de conficiones
NO CUMPLE</t>
  </si>
  <si>
    <t>FEYMA INGENIERIA SAS
Cra 12 N0 24-27 Of 101 Tunja Boyaca
Rep Legal Ing Magda Lucero Medina Lara</t>
  </si>
  <si>
    <t>Contrato No 037 de 2001
Gobernacion de Putumayo
Objeto: Interventoria tecnica ……. Para la remodelacion de algunos modulos administrativos y de servicios generales de la red hospitalaria departamental ……… asi como la construccion y ampliacion d ela primera etapa del modulo de promociaon y prevencion materno infantil de la ESE Hospital Alcides Jimenez del Municipio de Puerto Caicedo Departamento de Putumayo</t>
  </si>
  <si>
    <t>Contrato No 089-2002
Objeto: Interventoria Tecnica…….. Para la remodelacion, adecuacion y construcccion de las deses de las escuelas urbanas mixtas los Sauces y El predo del municipio de Mocoa</t>
  </si>
  <si>
    <t>$292.08-8948,25</t>
  </si>
  <si>
    <t>La certificacion no las relaciona</t>
  </si>
  <si>
    <t>La certificacion no relaciona actividades, el proponente presenta esta certificacion como experiencia habilitante donde se encuentra la realcion de actividades ejecutadas</t>
  </si>
  <si>
    <t>CUMPLE
C.C. 6764106</t>
  </si>
  <si>
    <t>CUMPLE
UNIVERSIDAD SANTO TOMAS
Ingenieria Civil
14  Marzo de 1986</t>
  </si>
  <si>
    <t>CUMPLE 
No 2520222171CND</t>
  </si>
  <si>
    <t>CUMPLE
No registra antecedentes 
Exp. 29 de Nov 2020</t>
  </si>
  <si>
    <t>Contrato 130 de 2018</t>
  </si>
  <si>
    <t>Contrato 091 de 2019</t>
  </si>
  <si>
    <t>INTERVENTORIA TECNICA….. PARA LA REMODELACION DE ALGUNOS MODULOS ADMINISTRATIVOS Y DE SERVICIOS GENERALES DE LA RED HOSPITALARIA DEPARTAMENTAL ASI COMO LA CONSTRUCCION Y AMPLIACION DE LA PRIMERA ETAPA DEL MODULO DE PROMOCIOJ Y PREVENCION MATERNO INFANTIL DE LA ESE HOSPITAL ALCIDES JIMENES DEL MUNICIPIO DE PUERTO CAICEDO DEPARTAMENTO DE PUTUMAYO</t>
  </si>
  <si>
    <t>INTERVENTORIA TECNICA…… CONSTRUCCION PRIMERA ETAPA HOSPITAL LOCAL DE TUNJA DE CONFORMIDAD…..</t>
  </si>
  <si>
    <t>INTERVENTORIA TECNICA……… CONSTRUCCION SEGUNDA ETAPA HOSPITAL LOCAL DE TUNJA ……….</t>
  </si>
  <si>
    <t>FEYMA LTDA 50%</t>
  </si>
  <si>
    <t>FEYMA INGENIERIA SAS</t>
  </si>
  <si>
    <t>Presenta Certificado de existencia y representación legal, empresa inscrita el 20  de Mayo de 1993, con domicilio principal en Tunja y representada legalmente por Magda Lucero Medina Lara con CC 40042721</t>
  </si>
  <si>
    <t>Presenta certificado de vinculación de trabajadores con discapacidad emitido por  COORDINADORA DEL GRUPO DE ATENCIÓN AL CIUDADANO Y TRÁMITES DE LA DIRECCION TERRITORIAL DE BOYACA del Ministerio del Trabajo</t>
  </si>
  <si>
    <t>OBJETO  DEL CONTRATO</t>
  </si>
  <si>
    <t>1
contrato N° 2014-0005
COMSORCOP C Y C 2014</t>
  </si>
  <si>
    <t>CUMPLE
Anexa formato de actas con listado de actividades ejecutadas.</t>
  </si>
  <si>
    <t>Contratos demuestre la INTERVENTORIA proyectos de construcción y/o ampliación y/o adecuación y/o terminación de edificaciones de grupo ocupación institucional (I) definida en el numeral k.2.6 del decreto 926 de 2010 NSR-10</t>
  </si>
  <si>
    <t>OBSERVACIONES</t>
  </si>
  <si>
    <t>ESTADO FINAL</t>
  </si>
  <si>
    <t>DILIGENCIAMINETO ANEXO N° 7</t>
  </si>
  <si>
    <t>2 contrato ICCU-046 2014 
CONSORCIO CUNDINAMARCA</t>
  </si>
  <si>
    <t>NO APARECE</t>
  </si>
  <si>
    <t>HABILITADO</t>
  </si>
  <si>
    <t xml:space="preserve">HABILITADO </t>
  </si>
  <si>
    <t>2C INGENIEROS S.A
PRESTAR LOS SEVICIOS DE INTERVENTORIA…….. DE LA SEGUNDA FASE DEL ESTABLECIMIENTO DE SANIDAD DE LA PRIMERA BRIGADA DE INFANTERIA DE MARINA</t>
  </si>
  <si>
    <t>CUMPLE 
ANEXA ACTA DE RECIBO FINAL DEL CONTRATO DE OBRA OBJETO DE INTERVENTORIA DONDE APARECE EL LISTADO DE ACTIVIDADES EJECUTADAS</t>
  </si>
  <si>
    <t>NO HABILITADO</t>
  </si>
  <si>
    <t>1
CONTRATO N° 499-2016
GEINCO S.A.S</t>
  </si>
  <si>
    <t>1
Contrato de consultoría PN-DIRAF-No 06-3-10119-13
Ministerio de Defensa - Policía Nacional</t>
  </si>
  <si>
    <t>2
Cto No 001-237-2013
Ministerio de Defensa Nacional Agencia Logística de las Fuerzas Militares</t>
  </si>
  <si>
    <t xml:space="preserve">CONSORCIO JORGE ALVARO SANCHEZ BLANCO
INTERVENTORIA TECNICA, ADMINISTRATIVA ………CONSTRUCCION Y DOTACION PRIMERA FASE ESTACIONES DE POLICIA EN EL DEPARTAMENTO DE CUNDINAMARCA……
</t>
  </si>
  <si>
    <t>*JORGE ALVARO SANCHEZ BLANCO
*JORGE ALVARO SANCHEZ BLANCO Y CIA</t>
  </si>
  <si>
    <t xml:space="preserve">CONSORCIO SAMAN 2013
INTERVENTORIA TECNICA …….. PARA LA CONSTRUCCION DEL BATALLON ESPECIAL ENERGETICO Y VIAL No 19
</t>
  </si>
  <si>
    <t>CUMPLE
FOLIO 89 RUP</t>
  </si>
  <si>
    <t>CUMPLE
FOLIO 90 RUP</t>
  </si>
  <si>
    <t xml:space="preserve">NO APARECE
</t>
  </si>
  <si>
    <t>DILIGENCIAMINETO ANEXO N°7</t>
  </si>
  <si>
    <t xml:space="preserve">1
CONTRATO 1748 DE 2015
UNIVERSIDAD DE LOS LLANOS
</t>
  </si>
  <si>
    <t>UNION TEMPORAL INTERVENTORIA UNILLANOS
Interventoría técnica, administrativa, financiera y ambiental para la construcción Nueva sede Granada Universidad de los Llanos</t>
  </si>
  <si>
    <t xml:space="preserve">
50%</t>
  </si>
  <si>
    <t xml:space="preserve">RELACIÓN DE ACTIVIDADES EJECUTADAS
</t>
  </si>
  <si>
    <t>CUMPLE
FOLIO 53 RUP</t>
  </si>
  <si>
    <t xml:space="preserve">
UNION TEMPORAL SAN PAUL
ESE HOSPITAL SAN PAUL DE PAIPA
REALIZAR LA INTERVENTORIA TECNICA, ADMINISTRATIVA …….. LA EJECUCION DEL PROYECTO CONSTRUCCION, ADECUACION Y REMODELACION DE LA ESE HOSPITAL SAN VICENTE DE PAUL DE PAIPA</t>
  </si>
  <si>
    <t>NO APLICA</t>
  </si>
  <si>
    <t>INTERVENTORIA TECNICA, ADMINISTRATICA …………PARA LA CONSTRUCCION DE LA NUEVA SEDE DE LA ESE CENTRO DE SALUD DEL MUNICIPIO DE SAN MATEO DEPARTAMENTO DE BOYACA</t>
  </si>
  <si>
    <t>INTERVENTORIA TECNICA, ADMINISTRATIVA …….. PARA LA REMODELACION, ADECUACION Y CONSTRCUCION DE LAS SEDES DE LAS ESCUELAS URBANAS MIXTA LOS SAUCES Y EL PRADO DEL MUNICIPIO DE MOCOA</t>
  </si>
  <si>
    <t>1
CONTRATO CO1.PCCNTR 226344
10 NOV 2017</t>
  </si>
  <si>
    <t>Interventoría, técnica, administrativa, legal, financiera, ambiental, jurídica y contable para estudios técnicos, diseño , demolición parcial y construcción de la infraestructura física de la regional Norte de Santander, en predios localizados en la calle 2 n avenida 4 y 5 pescadero</t>
  </si>
  <si>
    <t>2
CONTRATO 1070-2016</t>
  </si>
  <si>
    <t>Interventoría técnica, administrativa, jurídica, financiera y ambiental al contrato de obra nueva , demolición total y cerramiento de colegio Carlos Arango Vélez, ubicado en la localidad 8 de Kennedy del distrito capital identificado con el cpf 0846, de acuerdo con los planos y especificaciones entregados por la Secretaria de Educación del Distrito</t>
  </si>
  <si>
    <t>DESMONTES, CIMENTACION, MAMPOSTERIA , PAÑETES ……</t>
  </si>
  <si>
    <t>LA CERTIFICACION NO DESCRIBE ACTIVIDADES</t>
  </si>
  <si>
    <t>6.4.1 EXPERIENCIA (HABILITADO / NO HABILITADO )</t>
  </si>
  <si>
    <t>INVITACION PUBLICA 162 DE 2020</t>
  </si>
  <si>
    <t>Residente de Interventoria</t>
  </si>
  <si>
    <t xml:space="preserve">OBSERVACIONES </t>
  </si>
  <si>
    <t xml:space="preserve"> 6.4.3. EQUIPO MÍNIMO DE TRABAJO HABILITANTE</t>
  </si>
  <si>
    <t>Construcción de diferentes áreas de la e.s.e Hospital Pedro León Álvarez Diaz de la Mesa , Cundinamarca</t>
  </si>
  <si>
    <t>N° contrato de interventoria 165-2013 
La construcción de diferentes áreas de la E.S.E Hospital Pedro León Álvarez Diaz de la Mesa</t>
  </si>
  <si>
    <t>CUMPLE
INGENIERO CIVIL</t>
  </si>
  <si>
    <t>ESPECIALISTA EN GERENCIA DE OBRA
UNIVERSIDAD CATOLICA DE COLOMBIA</t>
  </si>
  <si>
    <t>CONTRATO DE INTERVENTORIA
realizar la interventoria tecnica … de los pisos 2, 4, 6, 8 y 10 del edificio centro medico DALI</t>
  </si>
  <si>
    <t>ESPECIALISTA EN PROCESO DE EMPRESAS CONSTRUCTORAS
(EAN) ESCUELA DE ADMINISTRACION DE NEGOCIOS</t>
  </si>
  <si>
    <t>construmarca S.A.S</t>
  </si>
  <si>
    <t>CONTRATO 1851 DE 2011
INTERVENTORIA TECNICA …. REMODELACION DE LA PRIMERA FASE DE LA SEDE DE SALUD SAN JUAN DE DIOS REGIONAL SANTANDER</t>
  </si>
  <si>
    <t>NO APARECE DESCRIPCION DE ACTIVIDADES</t>
  </si>
  <si>
    <t>ADMINISTRACION DE OBRAS CIVILES
ESCUELA DE ADMINISTRACION DE NEGOCIOS</t>
  </si>
  <si>
    <t>AREA CUBIERTA EN M2 POR SU PORCENTAJE DE PARTICIPACIÓN Certificacion Consorcio aportada</t>
  </si>
  <si>
    <t>AREA CERTIFICADA MAYOR A 6000 M2</t>
  </si>
  <si>
    <t>7.2.1 EXPERIENCIA ESPECIFICA DEL PROPONENTE</t>
  </si>
  <si>
    <t>CONSORCIO ALFA 2011</t>
  </si>
  <si>
    <t>CONSORCIO SANCHEZ
50%</t>
  </si>
  <si>
    <t>7.2.2 EXPERIENCIA ESPECIFICA ADICIONAL DEL DIRECTOR DE INTERVENTORIA
7.2.3 EXPERIENCIA ESPECIFICA ADICIONAL DEL RESIDENTE DE INTERVENTORIA</t>
  </si>
  <si>
    <t>NO SE ENCONTRO EXPERIENCIA ADICIONAL PARA EL DIRECTOR COMO PARA EL RESIDENTE DE INTERVENTORIA</t>
  </si>
  <si>
    <t>AREA CERTIFICADA MAYOR A  6000 M2</t>
  </si>
  <si>
    <t>7.4 FACTOR APOYO PERSONAL CON DISCAPACIDAD</t>
  </si>
  <si>
    <t>ANEXO N° 9</t>
  </si>
  <si>
    <t>EQUIPO EVALUADOR</t>
  </si>
  <si>
    <t>RODRIGO ALDANA</t>
  </si>
  <si>
    <t>INGENIERO DESARROLLO INSTITUCIONAL</t>
  </si>
  <si>
    <t>MANUEL RINCON</t>
  </si>
  <si>
    <t>ARQUITECTO DESARROLLO INSTITUCIONAL</t>
  </si>
  <si>
    <t>JULIAN ARANA ROJAS</t>
  </si>
  <si>
    <t>ALEXANDER RODRIGUEZ G</t>
  </si>
  <si>
    <t>Presenta certificación con fecha de expedición 30 de noviembre de 2020, firmada por el representante legal y revisor fiscal de 2C INGENIEROS SA, con su planta de personal y personal en condición de discapacidad que actualmente tiene esta empresa.</t>
  </si>
  <si>
    <t>Presenta certificado de vinculación de trabajadores con discapacidad emitido por  COORDINADORA DEL GRUPO DE ATENCIÓN AL CIUDADANO Y TRÁMITES DE LA DIRECCION TERRITORIAL DE BOGOTA del Ministerio del Trabajo
Numero de Trabajadores: 7 personas
Numero de trabajadores con discapacidad: 1 
Fecha de expedición 23 de Octubre de 2020
Vigencia: 6 Meses</t>
  </si>
  <si>
    <t>Presenta certificación con fecha de expedición 30 de noviembre de 2020, firmada por JORGE ALVARO SANCHEZ BLANCO, con su planta de personal y personal en condición de discapacidad que actualmente tiene esta empresa.</t>
  </si>
  <si>
    <t>Presenta certificado de vinculación de trabajadores con discapacidad emitido por  COORDINADORA DEL GRUPO DE ATENCIÓN AL CIUDADANO Y TRÁMITES DE LA DIRECCION TERRITORIAL DE BOGOTA del Ministerio del Trabajo
Numero de Trabajadores: 2 personas
Numero de trabajadores con discapacidad: 1 
Fecha de expedición 18 de Noviembre de 2020
Vigencia: 6 Meses</t>
  </si>
  <si>
    <t>Presenta certificación con fecha de expedición 27 de noviembre de 2020, firmada por el representante legal y revisor fiscal de FEYMA INGENIERIA SAS, con su planta de personal y personal en condición de discapacidad que actualmente tiene esta empresa.</t>
  </si>
  <si>
    <t>7,2,1</t>
  </si>
  <si>
    <t>7,2,2</t>
  </si>
  <si>
    <t>7,2,3</t>
  </si>
  <si>
    <t>TOTAL</t>
  </si>
  <si>
    <t>Exp. Especifica ad. Proponente</t>
  </si>
  <si>
    <t>Exp. Especifica ad. DI</t>
  </si>
  <si>
    <t>Exp. Especifica ad. RI</t>
  </si>
  <si>
    <t>Apoyo Industria</t>
  </si>
  <si>
    <t>Discapacidad</t>
  </si>
  <si>
    <t>PUNTAJE</t>
  </si>
  <si>
    <t>PO en SMMLV</t>
  </si>
  <si>
    <t>Conversión SMMLV-fecha de terminanción</t>
  </si>
  <si>
    <t xml:space="preserve">AREA CUBIERTA EN M2 POR SU PORCENTAJE DE PARTICIPACIÓN </t>
  </si>
  <si>
    <t>LA SUMATORIA DEBE SER IGUAL O SUPERIOR AL 100% DEL PRESUPUESTO OFICIAL ( $ 533,120,000) se realiza conversión PO a SMMLV (607smmlv)
SUMATORIA DE LAS AREAS CUBIETAS OBJETO DE INTERVENTORIA DEBE SER IGUAL O SUPERIOR A 1,5 VECES EL NUMERO DE 1796 M2 A INTERVENIR</t>
  </si>
  <si>
    <t>Contrato de interventoría 1418 de 2010
CONSORCIO INTERTOLIMA
Interventoria tecnica ……Construccion Institucion educativa Francisco Niñez del municipio de Mariquita………</t>
  </si>
  <si>
    <t>CUMPLE PO EN SMMLV Y AREA MINIMA EXIGIDA</t>
  </si>
  <si>
    <t>SE AJUSTA EVALUACIÓN EN LA ATENCIÓN A LA OBSERVACIÓN DEL PROPONENTE TENIENDO EN CUENTA LO ESTABLECIDO EN EL PLIEGO DE CONDICIONES DE ESTA CONVOCATORIA, REALIZANDO LA CONVERSIÓN DE LOS PRESUPUESTOS A SMMLV.</t>
  </si>
  <si>
    <t xml:space="preserve"> HABILITADO</t>
  </si>
  <si>
    <t>CONSORCIO SANIDAD 2011
LA INTERVENTORÍA TÉCNICA, ADMINISTRATIVA, FINANCIERA Y CONTABLE PARA LA "ADECUACIÓN DE LA CONSTRUCCIÓN DE LOS HOSPITALES MILITARES, NIVEL 11, REGIONAL BUCARAMANGA, MEDELLfN Y TOLEMAIDA</t>
  </si>
  <si>
    <t>LAS ACTIVIDADES SE DESCRIBEN EN LA CERTIFICACION DEL CONTRATO</t>
  </si>
  <si>
    <t>NO CUMPLE POR AREA M2 NO CUMPLE POR VALOR PROPUESTA ECONOMICA EN SMMLV</t>
  </si>
  <si>
    <t>LA SUMATORIA DE LOS VALORES Y AREAS CERTIFICADAS AJUSTADA AL PORCENTAJE DE PARTICIPACIÓN DE LOS PROPONENTES NO CUMPLEN CON LO SOLICITADO EN LOS PLIEGOS DE CONDICIONES REFERENTE AL PRESUPUESTO OFICIAL  EN SMMLV  Y AL AREA CUBIERTA EXIGIDA 2694 M2.</t>
  </si>
  <si>
    <t>ANEXA ACTA DE RECIBO FINAL DEL CONTRATO DE OBBRA DONDE APARECE LA DESCRIPCION DE ACTIVIDADES EJECUTADAS</t>
  </si>
  <si>
    <t>CUMPLE SUMATORIA PRESUPUESTO OFICIAL SMMLV
CUMPLE AREA MINIMO SOLICITADA</t>
  </si>
  <si>
    <t>EL PROPONENTE INFORMA QUE POR ERROR INVOLUNTARIO PRESENTO EN EL ANEXO 7 UNA SOLA CERTIFICACIÓN, Y EN EL TERMINO DE SUBSANACIÓN ENTREGO EL ANEXO 7 AJUSTADO  ANEXANDO DICHA CERTIFICACIÓN, EN ESA CERTIFICACIÓN SOLO SE TUVO EN CUENTA LOS CONTRATOS CUYO OBJETO REFERENCIABAN LA CONSTRUCCIÓN DE EDIFICACIONES DE OCUPACIÓN INSTITUCIONAL.
INICIALMENTE SOLO SE TUVO EN CUENTA EL CONTRATO  1748 DE  2015, LO QUE GENERO QUE NO CUMPLIERA LA SUMATORIA DEL PRESUPUESTO OFICIAL DE ESTA CONVOCATORIA, SIN EMBARGO EL PROPONENTE SUB SANO LA REFERENCIA DE LOS CONTRATOS SUMINISTRADOS AÑADIENDO LA CERTIFICACION  DEL CONTRATO 080 DEL 2010, CUMPLIENDO ASI LOS REQUISITOS HABILITANTES.</t>
  </si>
  <si>
    <t>2
CONTRATO 080 DE 2010
MUNICIPIO DE LA JAGUA DE IBIRICO, DEPARTAMENTO DEL CESAR</t>
  </si>
  <si>
    <t>CONSORCIO INTEVENTORIAS DEL CESAR
Interventoría técnica,  financiera, administrativa y ambiental  a los siguientes contratos: 1. construccion y mejoramiento de la institución educativa Castro Castro escula mixta N°2 y sede N°3…..</t>
  </si>
  <si>
    <t>ANEXA CERTIFICACION DEL CONTRATO DE INTERVENTORIA   DONDE APARECE LA DESCRIPCION DE ACTIVIDADES EJECUTADAS</t>
  </si>
  <si>
    <t>CUMPLE 
FOLIO 13</t>
  </si>
  <si>
    <t>CUMPLE
FOLIO 13</t>
  </si>
  <si>
    <t>CUMMPLE</t>
  </si>
  <si>
    <t>1
Contrato de Prestacion de Servicios  004 de 2015
ESE HOSPITAL SAN PAUL DE PAIPA</t>
  </si>
  <si>
    <t>CUMPLE
en la certificación presentada por el proponente no aparece la descripción de actividades, anexan acta de recibo final del contrato de obra objeto de interventoría.</t>
  </si>
  <si>
    <t>CUMPLE POR SUMATORIA VALOR PROPUESTA ECONÓMICA SMMLV Y AREA CUBIERTA MINIMA EXIGIDA</t>
  </si>
  <si>
    <t>en su subsanación de observaciones preseta certificación del  Contrato de Prestacion de Servicios  004 de 2015
ESE HOSPITAL SAN PAUL DE PAIPA</t>
  </si>
  <si>
    <t>2
Contrato No SM-CM-002-2015
FEYMA Ingenieria SAS</t>
  </si>
  <si>
    <t>Contrato No SM-CM-002-2015
FEYMA Ingenieria SAS</t>
  </si>
  <si>
    <t>NO APLICA CONTRATO NO SERÁ TENIDO EN CUENTA</t>
  </si>
  <si>
    <t xml:space="preserve">939,2 M2
Este valor se encontro en el acta de recibo final de obra, contrato objeto de la interventoria, se tomo del alistado piso. </t>
  </si>
  <si>
    <t>este contrato no es tenido en cuenta dado que solo es permitido un maximo de 2 certificaciones.</t>
  </si>
  <si>
    <t>3
Contrato 082 de 2002
FEYMA Ltda
Alcaldia Municipal de Mocoa</t>
  </si>
  <si>
    <t>Contrato 089 de 2002
FEYMA Ltda
Alcaldia Municipal de Mocoa</t>
  </si>
  <si>
    <t>inicialmente no se anexa, pero mediante la subsanación se aclara por parte del proponente.</t>
  </si>
  <si>
    <t>GEINCO 05</t>
  </si>
  <si>
    <t>El proponente no cumple con la expereincia habilitante en area y valor del presupuesto oficial en SMMLV</t>
  </si>
  <si>
    <t>01-2016</t>
  </si>
  <si>
    <t>CERTIFICACION NO SE TENDRA EN CUENTA</t>
  </si>
  <si>
    <t xml:space="preserve">UNION TEMPORAL SAN PAUL
Centro Comercial IWOKA, SOGAMOSO, Cra 11 No 21 - 90 Of 301 </t>
  </si>
  <si>
    <t>CPS No 004 de 2015 
Objeto: REALIZAR LA INTERVENTORIA TECNICA……….. DEL PROYECTO  CONSTRUCCION, ADECUACION ….. DE LA ESE HOSPITAL SAN VICENTE DE PAUL…..</t>
  </si>
  <si>
    <t>$307.525.124
NOTA: Valor extraido de la informacion soporte</t>
  </si>
  <si>
    <t>1816,63
NOTA: Valor extraido de la informacion soporte</t>
  </si>
  <si>
    <t>FEYMA INGENIERIA S.A.S
Cra 12 No 24-27  Oficina 101 - Tunja Boyaca</t>
  </si>
  <si>
    <t>Contrato 130 de 2018
INTERVENTORIA TECNICA ADMINISTRATIVA ……….. AL CONTRATO DE OBRA……. CONSTRUCCION PRIMERA ETAPA HOSPITAL LOCAL DE TUNJA……
ESE SANTIAGO DE TUNJA</t>
  </si>
  <si>
    <t>2419,39
NOTA; Se obtuvo de certificacion contrato de interventoria</t>
  </si>
  <si>
    <t>Director de Interventoria</t>
  </si>
  <si>
    <t>Contrato N° 091 de 2019
INTERVENTORIA TECNICA ADMINISTRATIVA ……….. AL CONTRATO DE OBRA……. CONSTRUCCION SEGUNDA ETAPA HOSPITAL LOCAL DE TUNJA……
ESE SANTIAGO DE TUNJA</t>
  </si>
  <si>
    <t>NO REPORTA</t>
  </si>
  <si>
    <t>Se tiene en cuenta certificación subsanada por proponente y se valida para experiencia Residente de Interventoria.</t>
  </si>
  <si>
    <t>El objeto del contrato de la certificación presentada no corresponde a edificaciones del tipo hospitalario y/o instituciones prestadoras de salud, por tal motivo no se tiene en cuenta</t>
  </si>
  <si>
    <t>La certificación no contiene descripción de actividades</t>
  </si>
  <si>
    <t>La certficacón no inclui la descripción de las actividades</t>
  </si>
  <si>
    <t>Presenta certificado de vinculación de trabajadores con discapacidad emitido por  COORDINADORA DEL GRUPO DE ATENCIÓN AL CIUDADANO Y TRÁMITES DE LA DIRECCION TERRITORIAL DE CUNDINAMARCA del Ministerio del Trabajo
Número de Trabajadores: 5 personas
Número de trabajadores con discapacidad: 1 
Fecha de expedición 25 de Septiembre de 2020
Vigencia: 6 Meses</t>
  </si>
  <si>
    <t>ANEXO 10</t>
  </si>
  <si>
    <t>2
CONTRATO 870 DE 2014 CONSORCIO GRUPO 7</t>
  </si>
  <si>
    <t>NO CUMPLE REQUISITOS FINANCIEROS</t>
  </si>
  <si>
    <t>CONSORCIO FEYMA ASOCIADOS
Contrato 037 de 2001</t>
  </si>
  <si>
    <t xml:space="preserve">NO APARECE
FOLIO </t>
  </si>
  <si>
    <t>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</si>
</sst>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1" formatCode="_-* #,##0_-;\-* #,##0_-;_-* &quot;-&quot;_-;_-@_-"/>
    <numFmt numFmtId="164" formatCode="_-&quot;$&quot;* #,##0_-;\-&quot;$&quot;* #,##0_-;_-&quot;$&quot;* &quot;-&quot;_-;_-@_-"/>
    <numFmt numFmtId="165" formatCode="_-&quot;$&quot;* #,##0.00_-;\-&quot;$&quot;* #,##0.00_-;_-&quot;$&quot;* &quot;-&quot;??_-;_-@_-"/>
    <numFmt numFmtId="166" formatCode="&quot;$&quot;#,##0"/>
    <numFmt numFmtId="167" formatCode="_-* #,##0.00_-;\-* #,##0.00_-;_-* &quot;-&quot;_-;_-@_-"/>
    <numFmt numFmtId="168" formatCode="_-&quot;$&quot;* #,##0_-;\-&quot;$&quot;* #,##0_-;_-&quot;$&quot;* &quot;-&quot;??_-;_-@_-"/>
    <numFmt numFmtId="169" formatCode="#,##0.0"/>
    <numFmt numFmtId="170" formatCode="&quot;$&quot;#,##0.00"/>
  </numFmts>
  <fonts count="19" x14ac:knownFonts="1">
    <font>
      <sz val="11"/>
      <color theme="1"/>
      <name val="Calibri"/>
      <family val="2"/>
      <scheme val="minor"/>
    </font>
    <font>
      <sz val="10"/>
      <color theme="1"/>
      <name val="Arial"/>
      <family val="2"/>
    </font>
    <font>
      <sz val="11"/>
      <color theme="1"/>
      <name val="Calibri"/>
      <family val="2"/>
      <scheme val="minor"/>
    </font>
    <font>
      <sz val="10"/>
      <color theme="1"/>
      <name val="Century Gothic"/>
      <family val="2"/>
    </font>
    <font>
      <b/>
      <sz val="10"/>
      <color theme="1"/>
      <name val="Century Gothic"/>
      <family val="2"/>
    </font>
    <font>
      <sz val="11"/>
      <color theme="1"/>
      <name val="Century Gothic"/>
      <family val="2"/>
    </font>
    <font>
      <b/>
      <sz val="14"/>
      <color theme="1"/>
      <name val="Century Gothic"/>
      <family val="2"/>
    </font>
    <font>
      <b/>
      <sz val="10"/>
      <color theme="1"/>
      <name val="Arial"/>
      <family val="2"/>
    </font>
    <font>
      <sz val="10"/>
      <color theme="5"/>
      <name val="Arial"/>
      <family val="2"/>
    </font>
    <font>
      <b/>
      <sz val="11"/>
      <color theme="1"/>
      <name val="Calibri"/>
      <family val="2"/>
      <scheme val="minor"/>
    </font>
    <font>
      <b/>
      <sz val="10"/>
      <color rgb="FFFF0000"/>
      <name val="Arial"/>
      <family val="2"/>
    </font>
    <font>
      <b/>
      <sz val="16"/>
      <color theme="1"/>
      <name val="Century Gothic"/>
      <family val="2"/>
    </font>
    <font>
      <b/>
      <sz val="14"/>
      <color theme="1"/>
      <name val="Calibri"/>
      <family val="2"/>
      <scheme val="minor"/>
    </font>
    <font>
      <sz val="8"/>
      <name val="Calibri"/>
      <family val="2"/>
      <scheme val="minor"/>
    </font>
    <font>
      <b/>
      <sz val="11"/>
      <color theme="1"/>
      <name val="Century Gothic"/>
      <family val="2"/>
    </font>
    <font>
      <sz val="24"/>
      <color theme="1"/>
      <name val="Calibri"/>
      <family val="2"/>
      <scheme val="minor"/>
    </font>
    <font>
      <sz val="26"/>
      <color theme="1"/>
      <name val="Calibri"/>
      <family val="2"/>
      <scheme val="minor"/>
    </font>
    <font>
      <b/>
      <sz val="26"/>
      <color theme="1"/>
      <name val="Century Gothic"/>
      <family val="2"/>
    </font>
    <font>
      <sz val="10"/>
      <name val="Century Gothic"/>
      <family val="2"/>
    </font>
  </fonts>
  <fills count="17">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ED7D3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7C80"/>
        <bgColor indexed="64"/>
      </patternFill>
    </fill>
    <fill>
      <patternFill patternType="solid">
        <fgColor theme="9" tint="0.39997558519241921"/>
        <bgColor indexed="64"/>
      </patternFill>
    </fill>
    <fill>
      <patternFill patternType="solid">
        <fgColor rgb="FFFBE4D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41"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cellStyleXfs>
  <cellXfs count="407">
    <xf numFmtId="0" fontId="0" fillId="0" borderId="0" xfId="0"/>
    <xf numFmtId="0" fontId="5" fillId="0" borderId="0" xfId="0" applyFont="1" applyAlignment="1">
      <alignment vertical="center" wrapText="1"/>
    </xf>
    <xf numFmtId="0" fontId="8" fillId="0" borderId="0" xfId="0" applyFont="1" applyAlignment="1" applyProtection="1">
      <alignment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hidden="1"/>
    </xf>
    <xf numFmtId="9" fontId="1" fillId="0" borderId="1" xfId="0" applyNumberFormat="1" applyFont="1" applyBorder="1" applyAlignment="1" applyProtection="1">
      <alignment horizontal="center" vertical="center" wrapText="1"/>
      <protection hidden="1"/>
    </xf>
    <xf numFmtId="0" fontId="0" fillId="0" borderId="1" xfId="0" applyBorder="1" applyAlignment="1">
      <alignment horizontal="justify" vertical="center"/>
    </xf>
    <xf numFmtId="0" fontId="0" fillId="0" borderId="0" xfId="0" applyAlignment="1">
      <alignment horizontal="center"/>
    </xf>
    <xf numFmtId="0" fontId="5" fillId="0" borderId="1" xfId="0" applyFont="1" applyBorder="1" applyAlignment="1" applyProtection="1">
      <alignment vertical="center" wrapText="1"/>
      <protection hidden="1"/>
    </xf>
    <xf numFmtId="14" fontId="5" fillId="0" borderId="1" xfId="0" applyNumberFormat="1" applyFont="1" applyBorder="1" applyAlignment="1" applyProtection="1">
      <alignment horizontal="center" vertical="center" wrapText="1"/>
      <protection hidden="1"/>
    </xf>
    <xf numFmtId="0" fontId="0" fillId="0" borderId="1" xfId="0" applyBorder="1"/>
    <xf numFmtId="0" fontId="9" fillId="0" borderId="0" xfId="0" applyFont="1" applyBorder="1" applyAlignment="1"/>
    <xf numFmtId="0" fontId="3" fillId="0" borderId="1" xfId="0" applyFont="1" applyFill="1" applyBorder="1" applyAlignment="1">
      <alignment horizontal="left" vertical="center" wrapText="1"/>
    </xf>
    <xf numFmtId="166" fontId="1" fillId="0" borderId="1" xfId="0" applyNumberFormat="1" applyFont="1" applyBorder="1" applyAlignment="1" applyProtection="1">
      <alignment vertical="center" wrapText="1"/>
      <protection hidden="1"/>
    </xf>
    <xf numFmtId="0" fontId="0" fillId="9" borderId="0" xfId="0" applyFill="1"/>
    <xf numFmtId="0" fontId="1" fillId="0" borderId="1" xfId="0" applyFont="1" applyFill="1" applyBorder="1" applyAlignment="1" applyProtection="1">
      <alignment horizontal="center" vertical="center" wrapText="1"/>
      <protection hidden="1"/>
    </xf>
    <xf numFmtId="0" fontId="0" fillId="0" borderId="0" xfId="0" applyFill="1"/>
    <xf numFmtId="0" fontId="0" fillId="0" borderId="1" xfId="0" applyFill="1" applyBorder="1"/>
    <xf numFmtId="0" fontId="0" fillId="0" borderId="1" xfId="0" applyFill="1" applyBorder="1" applyAlignment="1">
      <alignment horizontal="justify" vertical="center"/>
    </xf>
    <xf numFmtId="0" fontId="1" fillId="0" borderId="1" xfId="0" applyFont="1" applyFill="1" applyBorder="1" applyAlignment="1" applyProtection="1">
      <alignment vertical="center" wrapText="1"/>
      <protection locked="0"/>
    </xf>
    <xf numFmtId="9" fontId="1" fillId="0" borderId="1" xfId="0" applyNumberFormat="1" applyFont="1" applyFill="1" applyBorder="1" applyAlignment="1" applyProtection="1">
      <alignment horizontal="center" vertical="center" wrapText="1"/>
      <protection locked="0"/>
    </xf>
    <xf numFmtId="166" fontId="1" fillId="0" borderId="1" xfId="0" applyNumberFormat="1" applyFont="1" applyFill="1" applyBorder="1" applyAlignment="1" applyProtection="1">
      <alignment vertical="center" wrapText="1"/>
      <protection hidden="1"/>
    </xf>
    <xf numFmtId="0" fontId="5" fillId="0" borderId="1" xfId="0" applyFont="1" applyBorder="1" applyAlignment="1" applyProtection="1">
      <alignment horizontal="justify" vertical="center" wrapText="1"/>
      <protection hidden="1"/>
    </xf>
    <xf numFmtId="9" fontId="0" fillId="0" borderId="1" xfId="0" applyNumberFormat="1" applyFill="1" applyBorder="1" applyAlignment="1">
      <alignment horizontal="center" vertical="center"/>
    </xf>
    <xf numFmtId="9" fontId="1" fillId="0" borderId="1" xfId="0" applyNumberFormat="1" applyFont="1" applyFill="1" applyBorder="1" applyAlignment="1" applyProtection="1">
      <alignment horizontal="center" vertical="center" wrapText="1"/>
      <protection hidden="1"/>
    </xf>
    <xf numFmtId="4" fontId="1" fillId="0" borderId="1" xfId="0" applyNumberFormat="1" applyFont="1" applyFill="1" applyBorder="1" applyAlignment="1" applyProtection="1">
      <alignment vertical="center" wrapText="1"/>
      <protection hidden="1"/>
    </xf>
    <xf numFmtId="0" fontId="0" fillId="0" borderId="1" xfId="0" applyFill="1" applyBorder="1" applyAlignment="1">
      <alignment horizontal="center" vertical="center"/>
    </xf>
    <xf numFmtId="0" fontId="0" fillId="0" borderId="1" xfId="0" applyBorder="1" applyAlignment="1">
      <alignment horizontal="center" vertical="center"/>
    </xf>
    <xf numFmtId="0" fontId="16" fillId="0" borderId="0" xfId="0" applyFont="1" applyAlignment="1">
      <alignment vertical="center"/>
    </xf>
    <xf numFmtId="0" fontId="0" fillId="0" borderId="1" xfId="0" applyBorder="1" applyAlignment="1">
      <alignment horizontal="justify" wrapText="1"/>
    </xf>
    <xf numFmtId="0" fontId="0" fillId="5" borderId="0" xfId="0" applyFill="1"/>
    <xf numFmtId="0" fontId="0" fillId="0" borderId="12" xfId="0" applyBorder="1"/>
    <xf numFmtId="0" fontId="0" fillId="0" borderId="22" xfId="0" applyBorder="1" applyAlignment="1">
      <alignment horizontal="center"/>
    </xf>
    <xf numFmtId="0" fontId="0" fillId="0" borderId="14" xfId="0" applyBorder="1" applyAlignment="1">
      <alignment horizontal="center"/>
    </xf>
    <xf numFmtId="0" fontId="0" fillId="0" borderId="22" xfId="0" applyBorder="1" applyAlignment="1">
      <alignment horizontal="center" vertical="center" wrapText="1"/>
    </xf>
    <xf numFmtId="0" fontId="0" fillId="0" borderId="14" xfId="0" applyBorder="1" applyAlignment="1">
      <alignment horizontal="center" vertical="center" wrapText="1"/>
    </xf>
    <xf numFmtId="0" fontId="0" fillId="0" borderId="1" xfId="0" applyBorder="1" applyAlignment="1">
      <alignment horizontal="center" vertical="center" wrapText="1"/>
    </xf>
    <xf numFmtId="0" fontId="0" fillId="0" borderId="22" xfId="0" applyFill="1" applyBorder="1" applyAlignment="1">
      <alignment horizontal="center" vertical="center" wrapText="1"/>
    </xf>
    <xf numFmtId="0" fontId="0" fillId="0" borderId="22" xfId="0" applyFill="1" applyBorder="1" applyAlignment="1">
      <alignment horizontal="center" vertical="center"/>
    </xf>
    <xf numFmtId="0" fontId="0" fillId="0" borderId="19" xfId="0" applyBorder="1" applyAlignment="1">
      <alignment horizontal="center" vertical="center" wrapText="1"/>
    </xf>
    <xf numFmtId="0" fontId="0" fillId="0" borderId="19" xfId="0" applyBorder="1" applyAlignment="1">
      <alignment vertical="center" wrapText="1"/>
    </xf>
    <xf numFmtId="9" fontId="0" fillId="0" borderId="19" xfId="0" applyNumberFormat="1" applyBorder="1" applyAlignment="1">
      <alignment horizontal="center" vertical="center"/>
    </xf>
    <xf numFmtId="0" fontId="0" fillId="0" borderId="19" xfId="0" applyBorder="1" applyAlignment="1">
      <alignment horizontal="center" vertical="center"/>
    </xf>
    <xf numFmtId="0" fontId="0" fillId="0" borderId="19" xfId="0" applyFill="1" applyBorder="1" applyAlignment="1">
      <alignment horizontal="center" vertical="center"/>
    </xf>
    <xf numFmtId="0" fontId="0" fillId="0" borderId="14" xfId="0" applyBorder="1" applyAlignment="1">
      <alignment horizontal="justify" vertical="center" wrapText="1"/>
    </xf>
    <xf numFmtId="0" fontId="0" fillId="0" borderId="19" xfId="0" applyBorder="1" applyAlignment="1">
      <alignment horizontal="justify" vertical="center" wrapText="1"/>
    </xf>
    <xf numFmtId="0" fontId="9" fillId="0" borderId="4" xfId="0" applyFont="1" applyBorder="1"/>
    <xf numFmtId="0" fontId="0" fillId="0" borderId="21" xfId="0" applyBorder="1" applyAlignment="1">
      <alignment horizontal="center"/>
    </xf>
    <xf numFmtId="0" fontId="9" fillId="0" borderId="0" xfId="0" applyFont="1" applyFill="1" applyBorder="1" applyAlignment="1"/>
    <xf numFmtId="0" fontId="0" fillId="0" borderId="0" xfId="0" applyFill="1" applyBorder="1"/>
    <xf numFmtId="0" fontId="9" fillId="0" borderId="9" xfId="0" applyFont="1" applyBorder="1"/>
    <xf numFmtId="0" fontId="0" fillId="0" borderId="25" xfId="0" applyBorder="1"/>
    <xf numFmtId="0" fontId="0" fillId="0" borderId="13" xfId="0" applyBorder="1"/>
    <xf numFmtId="0" fontId="0" fillId="0" borderId="10" xfId="0" applyBorder="1"/>
    <xf numFmtId="3" fontId="0" fillId="0" borderId="16" xfId="0" applyNumberFormat="1" applyBorder="1" applyAlignment="1">
      <alignment horizontal="center"/>
    </xf>
    <xf numFmtId="3" fontId="0" fillId="0" borderId="22" xfId="0" applyNumberFormat="1" applyBorder="1" applyAlignment="1">
      <alignment horizontal="center"/>
    </xf>
    <xf numFmtId="3" fontId="0" fillId="0" borderId="14" xfId="0" applyNumberFormat="1" applyBorder="1" applyAlignment="1">
      <alignment horizontal="center"/>
    </xf>
    <xf numFmtId="0" fontId="9" fillId="0" borderId="5" xfId="0" applyFont="1" applyFill="1" applyBorder="1" applyAlignment="1">
      <alignment horizontal="center"/>
    </xf>
    <xf numFmtId="0" fontId="9" fillId="0" borderId="20" xfId="0" applyFont="1" applyBorder="1" applyAlignment="1">
      <alignment horizontal="center"/>
    </xf>
    <xf numFmtId="0" fontId="9" fillId="0" borderId="8" xfId="0" applyFont="1" applyFill="1" applyBorder="1" applyAlignment="1">
      <alignment horizontal="center"/>
    </xf>
    <xf numFmtId="0" fontId="9" fillId="0" borderId="8" xfId="0" applyFont="1" applyBorder="1" applyAlignment="1">
      <alignment horizontal="center"/>
    </xf>
    <xf numFmtId="0" fontId="9" fillId="0" borderId="11" xfId="0" applyFont="1" applyBorder="1" applyAlignment="1">
      <alignment horizontal="center"/>
    </xf>
    <xf numFmtId="0" fontId="0" fillId="0" borderId="1" xfId="0" applyBorder="1" applyAlignment="1">
      <alignment horizontal="justify" vertical="center" wrapText="1"/>
    </xf>
    <xf numFmtId="0" fontId="0" fillId="0" borderId="1" xfId="0" applyBorder="1" applyAlignment="1">
      <alignment horizontal="center"/>
    </xf>
    <xf numFmtId="0" fontId="1" fillId="0" borderId="0" xfId="0" applyFont="1" applyAlignment="1" applyProtection="1">
      <alignment horizontal="center" vertical="center" wrapText="1"/>
      <protection locked="0"/>
    </xf>
    <xf numFmtId="0" fontId="1" fillId="0" borderId="1" xfId="0" applyFont="1" applyBorder="1" applyAlignment="1" applyProtection="1">
      <alignment vertical="center" wrapText="1"/>
      <protection hidden="1"/>
    </xf>
    <xf numFmtId="0" fontId="1" fillId="9" borderId="1" xfId="0" applyFont="1" applyFill="1" applyBorder="1" applyAlignment="1" applyProtection="1">
      <alignment vertical="center" wrapText="1"/>
      <protection hidden="1"/>
    </xf>
    <xf numFmtId="0" fontId="1" fillId="7" borderId="1" xfId="0" applyFont="1" applyFill="1" applyBorder="1" applyAlignment="1" applyProtection="1">
      <alignment horizontal="center" vertical="center" wrapText="1"/>
      <protection locked="0"/>
    </xf>
    <xf numFmtId="0" fontId="0" fillId="0" borderId="22" xfId="0" applyFill="1" applyBorder="1" applyAlignment="1">
      <alignment horizontal="center"/>
    </xf>
    <xf numFmtId="0" fontId="0" fillId="0" borderId="22" xfId="0" applyFill="1" applyBorder="1" applyAlignment="1">
      <alignment vertical="center" wrapText="1"/>
    </xf>
    <xf numFmtId="9" fontId="1" fillId="0" borderId="1" xfId="0" applyNumberFormat="1" applyFont="1" applyBorder="1" applyAlignment="1" applyProtection="1">
      <alignment horizontal="center" vertical="center" wrapText="1"/>
      <protection locked="0"/>
    </xf>
    <xf numFmtId="14" fontId="1" fillId="0" borderId="1" xfId="0" applyNumberFormat="1" applyFont="1" applyBorder="1" applyAlignment="1" applyProtection="1">
      <alignment vertical="center" wrapText="1"/>
      <protection hidden="1"/>
    </xf>
    <xf numFmtId="3" fontId="1" fillId="0" borderId="1" xfId="0" applyNumberFormat="1" applyFont="1" applyBorder="1" applyAlignment="1" applyProtection="1">
      <alignment vertical="center" wrapText="1"/>
      <protection hidden="1"/>
    </xf>
    <xf numFmtId="4" fontId="1" fillId="0" borderId="1" xfId="0" applyNumberFormat="1" applyFont="1" applyBorder="1" applyAlignment="1" applyProtection="1">
      <alignment vertical="center" wrapText="1"/>
      <protection hidden="1"/>
    </xf>
    <xf numFmtId="0" fontId="4" fillId="5" borderId="1" xfId="0" applyFont="1" applyFill="1" applyBorder="1" applyAlignment="1">
      <alignment horizontal="center" vertical="center" wrapText="1"/>
    </xf>
    <xf numFmtId="0" fontId="4" fillId="5"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4" fillId="5" borderId="1" xfId="0" applyFont="1" applyFill="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3" fontId="5" fillId="0" borderId="1" xfId="0" applyNumberFormat="1" applyFont="1" applyBorder="1" applyAlignment="1" applyProtection="1">
      <alignment horizontal="center" vertical="center" wrapText="1"/>
      <protection hidden="1"/>
    </xf>
    <xf numFmtId="0" fontId="3" fillId="0" borderId="1" xfId="0" applyFont="1" applyFill="1" applyBorder="1" applyAlignment="1">
      <alignment horizontal="justify" vertical="center" wrapText="1"/>
    </xf>
    <xf numFmtId="14" fontId="3" fillId="0" borderId="1" xfId="0" applyNumberFormat="1" applyFont="1" applyFill="1" applyBorder="1" applyAlignment="1">
      <alignment horizontal="justify" vertical="center" wrapText="1"/>
    </xf>
    <xf numFmtId="14" fontId="5" fillId="0" borderId="1" xfId="0" applyNumberFormat="1" applyFont="1" applyFill="1" applyBorder="1" applyAlignment="1" applyProtection="1">
      <alignment horizontal="center" vertical="center" wrapText="1"/>
      <protection hidden="1"/>
    </xf>
    <xf numFmtId="0" fontId="5" fillId="0" borderId="1" xfId="0" applyFont="1" applyFill="1" applyBorder="1" applyAlignment="1" applyProtection="1">
      <alignment horizontal="justify" vertical="center" wrapText="1"/>
      <protection hidden="1"/>
    </xf>
    <xf numFmtId="0" fontId="5" fillId="0" borderId="1" xfId="0" applyFont="1" applyFill="1" applyBorder="1" applyAlignment="1" applyProtection="1">
      <alignment vertical="center" wrapText="1"/>
      <protection hidden="1"/>
    </xf>
    <xf numFmtId="3" fontId="3" fillId="0" borderId="1" xfId="0" applyNumberFormat="1" applyFont="1" applyFill="1" applyBorder="1" applyAlignment="1">
      <alignment horizontal="justify" vertical="center" wrapText="1"/>
    </xf>
    <xf numFmtId="49" fontId="0" fillId="0" borderId="19" xfId="0" applyNumberFormat="1" applyBorder="1" applyAlignment="1">
      <alignment horizontal="center" vertical="center"/>
    </xf>
    <xf numFmtId="170" fontId="0" fillId="0" borderId="19" xfId="0" applyNumberFormat="1" applyBorder="1" applyAlignment="1">
      <alignment horizontal="center" vertical="center"/>
    </xf>
    <xf numFmtId="0" fontId="3" fillId="5" borderId="1" xfId="0" applyFont="1" applyFill="1" applyBorder="1" applyAlignment="1">
      <alignment horizontal="justify" vertical="center" wrapText="1"/>
    </xf>
    <xf numFmtId="165" fontId="3" fillId="5" borderId="1" xfId="3" applyFont="1" applyFill="1" applyBorder="1" applyAlignment="1">
      <alignment horizontal="justify" vertical="center" wrapText="1"/>
    </xf>
    <xf numFmtId="0" fontId="3" fillId="5" borderId="1" xfId="0" applyFont="1" applyFill="1" applyBorder="1" applyAlignment="1">
      <alignment horizontal="center" vertical="center" wrapText="1"/>
    </xf>
    <xf numFmtId="165" fontId="0" fillId="0" borderId="1" xfId="3" applyFont="1" applyFill="1" applyBorder="1" applyAlignment="1">
      <alignment horizontal="center"/>
    </xf>
    <xf numFmtId="165" fontId="0" fillId="0" borderId="1" xfId="3" applyFont="1" applyFill="1" applyBorder="1"/>
    <xf numFmtId="0" fontId="0" fillId="0" borderId="19" xfId="0" applyFill="1" applyBorder="1"/>
    <xf numFmtId="165" fontId="0" fillId="0" borderId="19" xfId="3" applyFont="1"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3" fontId="0" fillId="0" borderId="26" xfId="0" applyNumberFormat="1" applyBorder="1" applyAlignment="1">
      <alignment horizontal="center" vertical="center"/>
    </xf>
    <xf numFmtId="3" fontId="0" fillId="0" borderId="27" xfId="0" applyNumberFormat="1" applyBorder="1" applyAlignment="1">
      <alignment horizontal="center" vertical="center"/>
    </xf>
    <xf numFmtId="3" fontId="0" fillId="14" borderId="27" xfId="0" applyNumberFormat="1" applyFill="1" applyBorder="1" applyAlignment="1">
      <alignment horizontal="center" vertical="center"/>
    </xf>
    <xf numFmtId="0" fontId="0" fillId="0" borderId="13" xfId="0" applyFill="1" applyBorder="1"/>
    <xf numFmtId="3" fontId="0" fillId="0" borderId="22" xfId="0" applyNumberFormat="1" applyFill="1" applyBorder="1" applyAlignment="1">
      <alignment horizontal="center"/>
    </xf>
    <xf numFmtId="0" fontId="0" fillId="0" borderId="1" xfId="0" applyFill="1" applyBorder="1" applyAlignment="1">
      <alignment horizontal="center"/>
    </xf>
    <xf numFmtId="166" fontId="1" fillId="0" borderId="1" xfId="0" applyNumberFormat="1"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locked="0"/>
    </xf>
    <xf numFmtId="166" fontId="1" fillId="0" borderId="1" xfId="0" applyNumberFormat="1" applyFont="1" applyBorder="1" applyAlignment="1" applyProtection="1">
      <alignment horizontal="center" vertical="center" wrapText="1"/>
      <protection locked="0"/>
    </xf>
    <xf numFmtId="3" fontId="1" fillId="0" borderId="1" xfId="0" applyNumberFormat="1" applyFont="1" applyBorder="1" applyAlignment="1" applyProtection="1">
      <alignment horizontal="center" vertical="center" wrapText="1"/>
      <protection hidden="1"/>
    </xf>
    <xf numFmtId="0" fontId="0" fillId="0" borderId="22" xfId="0" applyFill="1" applyBorder="1" applyAlignment="1">
      <alignment horizontal="center"/>
    </xf>
    <xf numFmtId="0" fontId="0" fillId="0" borderId="14" xfId="0" applyFill="1" applyBorder="1" applyAlignment="1">
      <alignment horizontal="center"/>
    </xf>
    <xf numFmtId="0" fontId="0" fillId="0" borderId="1" xfId="0" applyFill="1" applyBorder="1" applyAlignment="1">
      <alignment horizontal="justify" vertical="center" wrapText="1"/>
    </xf>
    <xf numFmtId="166" fontId="1" fillId="0" borderId="1" xfId="0" applyNumberFormat="1" applyFont="1" applyFill="1" applyBorder="1" applyAlignment="1" applyProtection="1">
      <alignment horizontal="center" vertical="center" wrapText="1"/>
      <protection hidden="1"/>
    </xf>
    <xf numFmtId="0" fontId="1" fillId="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68" fontId="5" fillId="0" borderId="1" xfId="3" applyNumberFormat="1" applyFont="1" applyBorder="1" applyAlignment="1" applyProtection="1">
      <alignment horizontal="center" vertical="center" wrapText="1"/>
      <protection hidden="1"/>
    </xf>
    <xf numFmtId="0" fontId="0" fillId="0" borderId="15" xfId="0" applyBorder="1" applyAlignment="1">
      <alignment horizontal="center" vertical="center" wrapText="1"/>
    </xf>
    <xf numFmtId="0" fontId="0" fillId="11" borderId="23" xfId="0" applyFill="1" applyBorder="1" applyAlignment="1">
      <alignment horizontal="center" vertical="center" wrapText="1"/>
    </xf>
    <xf numFmtId="3" fontId="0" fillId="0" borderId="1" xfId="0" applyNumberFormat="1" applyFill="1" applyBorder="1" applyAlignment="1">
      <alignment horizontal="center" vertical="center"/>
    </xf>
    <xf numFmtId="3" fontId="0" fillId="0" borderId="1" xfId="0" applyNumberFormat="1" applyFill="1" applyBorder="1" applyAlignment="1">
      <alignment horizontal="center" vertical="center" wrapText="1"/>
    </xf>
    <xf numFmtId="0" fontId="0" fillId="0" borderId="0" xfId="0" applyBorder="1"/>
    <xf numFmtId="0" fontId="0" fillId="11" borderId="19" xfId="0" applyFill="1" applyBorder="1" applyAlignment="1">
      <alignment horizontal="center" vertical="center" wrapText="1"/>
    </xf>
    <xf numFmtId="3" fontId="0" fillId="0" borderId="28" xfId="0" applyNumberFormat="1" applyFill="1" applyBorder="1" applyAlignment="1">
      <alignment horizontal="center" vertical="center"/>
    </xf>
    <xf numFmtId="0" fontId="7" fillId="4"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vertical="center" wrapText="1"/>
      <protection locked="0"/>
    </xf>
    <xf numFmtId="0" fontId="8" fillId="6" borderId="1" xfId="0" applyFont="1" applyFill="1" applyBorder="1" applyAlignment="1" applyProtection="1">
      <alignment vertical="center" wrapText="1"/>
      <protection locked="0"/>
    </xf>
    <xf numFmtId="9" fontId="8" fillId="2" borderId="1" xfId="0" applyNumberFormat="1" applyFont="1" applyFill="1" applyBorder="1" applyAlignment="1" applyProtection="1">
      <alignment horizontal="center" vertical="center" wrapText="1"/>
      <protection locked="0"/>
    </xf>
    <xf numFmtId="166" fontId="8" fillId="2" borderId="1" xfId="0" applyNumberFormat="1" applyFont="1" applyFill="1" applyBorder="1" applyAlignment="1" applyProtection="1">
      <alignment vertical="center" wrapText="1"/>
      <protection locked="0"/>
    </xf>
    <xf numFmtId="0" fontId="8"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vertical="center" wrapText="1"/>
      <protection hidden="1"/>
    </xf>
    <xf numFmtId="0" fontId="8" fillId="2" borderId="1" xfId="0" applyFont="1" applyFill="1" applyBorder="1" applyAlignment="1" applyProtection="1">
      <alignment horizontal="center" vertical="center" wrapText="1"/>
      <protection hidden="1"/>
    </xf>
    <xf numFmtId="166" fontId="8" fillId="2" borderId="1" xfId="0" applyNumberFormat="1" applyFont="1" applyFill="1" applyBorder="1" applyAlignment="1" applyProtection="1">
      <alignment vertical="center" wrapText="1"/>
      <protection hidden="1"/>
    </xf>
    <xf numFmtId="167" fontId="8" fillId="3" borderId="1" xfId="1" applyNumberFormat="1" applyFont="1" applyFill="1" applyBorder="1" applyAlignment="1" applyProtection="1">
      <alignment vertical="center" wrapText="1"/>
      <protection hidden="1"/>
    </xf>
    <xf numFmtId="167" fontId="8" fillId="2" borderId="1" xfId="1" applyNumberFormat="1" applyFont="1" applyFill="1" applyBorder="1" applyAlignment="1" applyProtection="1">
      <alignment vertical="center" wrapText="1"/>
      <protection hidden="1"/>
    </xf>
    <xf numFmtId="0" fontId="8" fillId="2" borderId="1" xfId="0" applyFont="1" applyFill="1" applyBorder="1" applyAlignment="1" applyProtection="1">
      <alignment horizontal="left" vertical="center" wrapText="1"/>
      <protection locked="0"/>
    </xf>
    <xf numFmtId="0" fontId="8" fillId="0" borderId="1" xfId="0" applyFont="1" applyBorder="1" applyAlignment="1" applyProtection="1">
      <alignment vertical="center" wrapText="1"/>
      <protection locked="0"/>
    </xf>
    <xf numFmtId="0" fontId="1" fillId="0" borderId="1" xfId="0" applyFont="1" applyBorder="1" applyAlignment="1" applyProtection="1">
      <alignment horizontal="justify" vertical="center" wrapText="1"/>
      <protection locked="0"/>
    </xf>
    <xf numFmtId="14" fontId="1" fillId="0" borderId="1" xfId="0" applyNumberFormat="1" applyFont="1" applyBorder="1" applyAlignment="1" applyProtection="1">
      <alignment horizontal="center" vertical="center" wrapText="1"/>
      <protection hidden="1"/>
    </xf>
    <xf numFmtId="3" fontId="1" fillId="0" borderId="1" xfId="0" applyNumberFormat="1" applyFont="1" applyFill="1" applyBorder="1" applyAlignment="1" applyProtection="1">
      <alignment vertical="center" wrapText="1"/>
      <protection hidden="1"/>
    </xf>
    <xf numFmtId="169" fontId="1" fillId="0" borderId="1" xfId="0" applyNumberFormat="1" applyFont="1" applyBorder="1" applyAlignment="1" applyProtection="1">
      <alignment horizontal="center" vertical="center" wrapText="1"/>
      <protection hidden="1"/>
    </xf>
    <xf numFmtId="167" fontId="1" fillId="0" borderId="1" xfId="1" applyNumberFormat="1" applyFont="1" applyBorder="1" applyAlignment="1" applyProtection="1">
      <alignment vertical="center" wrapText="1"/>
      <protection hidden="1"/>
    </xf>
    <xf numFmtId="164" fontId="1" fillId="0" borderId="1" xfId="2" applyFont="1" applyBorder="1" applyAlignment="1" applyProtection="1">
      <alignment vertical="center" wrapText="1"/>
      <protection hidden="1"/>
    </xf>
    <xf numFmtId="167" fontId="1" fillId="9" borderId="1" xfId="1" applyNumberFormat="1" applyFont="1" applyFill="1" applyBorder="1" applyAlignment="1" applyProtection="1">
      <alignment vertical="center" wrapText="1"/>
      <protection hidden="1"/>
    </xf>
    <xf numFmtId="166" fontId="1" fillId="9" borderId="1" xfId="0" applyNumberFormat="1" applyFont="1" applyFill="1" applyBorder="1" applyAlignment="1" applyProtection="1">
      <alignment vertical="center" wrapText="1"/>
      <protection hidden="1"/>
    </xf>
    <xf numFmtId="0" fontId="1" fillId="9" borderId="1" xfId="0" applyFont="1" applyFill="1" applyBorder="1" applyAlignment="1" applyProtection="1">
      <alignment horizontal="center" vertical="center" wrapText="1"/>
      <protection hidden="1"/>
    </xf>
    <xf numFmtId="164" fontId="1" fillId="9" borderId="1" xfId="2" applyFont="1" applyFill="1" applyBorder="1" applyAlignment="1" applyProtection="1">
      <alignment vertical="center" wrapText="1"/>
      <protection hidden="1"/>
    </xf>
    <xf numFmtId="0" fontId="0" fillId="9" borderId="1" xfId="0" applyFill="1" applyBorder="1"/>
    <xf numFmtId="0" fontId="1" fillId="0" borderId="1" xfId="0" applyFont="1" applyFill="1" applyBorder="1" applyAlignment="1" applyProtection="1">
      <alignment vertical="center" wrapText="1"/>
      <protection hidden="1"/>
    </xf>
    <xf numFmtId="0" fontId="8" fillId="6" borderId="1" xfId="0" applyFont="1" applyFill="1" applyBorder="1" applyAlignment="1" applyProtection="1">
      <alignment horizontal="center" vertical="center" wrapText="1"/>
      <protection locked="0"/>
    </xf>
    <xf numFmtId="170" fontId="1" fillId="0" borderId="1" xfId="0" applyNumberFormat="1" applyFont="1" applyFill="1" applyBorder="1" applyAlignment="1" applyProtection="1">
      <alignment vertical="center" wrapText="1"/>
      <protection hidden="1"/>
    </xf>
    <xf numFmtId="3" fontId="1" fillId="0" borderId="1" xfId="0" applyNumberFormat="1" applyFont="1" applyFill="1" applyBorder="1" applyAlignment="1" applyProtection="1">
      <alignment horizontal="justify" vertical="center" wrapText="1"/>
      <protection hidden="1"/>
    </xf>
    <xf numFmtId="4" fontId="1" fillId="0" borderId="1" xfId="0" applyNumberFormat="1" applyFont="1" applyBorder="1" applyAlignment="1" applyProtection="1">
      <alignment horizontal="center" vertical="center" wrapText="1"/>
      <protection hidden="1"/>
    </xf>
    <xf numFmtId="167" fontId="1" fillId="0" borderId="1" xfId="1" applyNumberFormat="1"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locked="0"/>
    </xf>
    <xf numFmtId="14" fontId="1" fillId="0" borderId="1" xfId="0" applyNumberFormat="1" applyFont="1" applyFill="1" applyBorder="1" applyAlignment="1" applyProtection="1">
      <alignment vertical="center" wrapText="1"/>
      <protection hidden="1"/>
    </xf>
    <xf numFmtId="0" fontId="0" fillId="0" borderId="1" xfId="0" applyFill="1" applyBorder="1" applyAlignment="1">
      <alignment vertical="center" wrapText="1"/>
    </xf>
    <xf numFmtId="167" fontId="1" fillId="9" borderId="1" xfId="1" applyNumberFormat="1" applyFont="1" applyFill="1" applyBorder="1" applyAlignment="1" applyProtection="1">
      <alignment horizontal="center" vertical="center" wrapText="1"/>
      <protection hidden="1"/>
    </xf>
    <xf numFmtId="0" fontId="7" fillId="9"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left" vertical="center" wrapText="1"/>
      <protection locked="0"/>
    </xf>
    <xf numFmtId="0" fontId="0" fillId="0" borderId="22" xfId="0" applyBorder="1"/>
    <xf numFmtId="0" fontId="0" fillId="0" borderId="23" xfId="0" applyBorder="1"/>
    <xf numFmtId="0" fontId="7" fillId="4" borderId="22" xfId="0" applyFont="1" applyFill="1" applyBorder="1" applyAlignment="1" applyProtection="1">
      <alignment horizontal="center" vertical="center" wrapText="1"/>
      <protection locked="0"/>
    </xf>
    <xf numFmtId="0" fontId="1" fillId="7"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vertical="center" wrapText="1"/>
      <protection locked="0"/>
    </xf>
    <xf numFmtId="166" fontId="8" fillId="2" borderId="23" xfId="0" applyNumberFormat="1" applyFont="1" applyFill="1" applyBorder="1" applyAlignment="1" applyProtection="1">
      <alignment vertical="center" wrapText="1"/>
      <protection hidden="1"/>
    </xf>
    <xf numFmtId="0" fontId="1" fillId="0" borderId="22" xfId="0" applyFont="1" applyBorder="1" applyAlignment="1" applyProtection="1">
      <alignment horizontal="center" vertical="center" wrapText="1"/>
      <protection locked="0"/>
    </xf>
    <xf numFmtId="0" fontId="1" fillId="0" borderId="19" xfId="0" applyFont="1" applyBorder="1" applyAlignment="1" applyProtection="1">
      <alignment vertical="center" wrapText="1"/>
      <protection locked="0"/>
    </xf>
    <xf numFmtId="9" fontId="1" fillId="0" borderId="19" xfId="0" applyNumberFormat="1"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0" fillId="0" borderId="19" xfId="0" applyBorder="1" applyAlignment="1">
      <alignment horizontal="justify" vertical="center"/>
    </xf>
    <xf numFmtId="0" fontId="1" fillId="0" borderId="19" xfId="0" applyFont="1" applyBorder="1" applyAlignment="1" applyProtection="1">
      <alignment horizontal="center" vertical="center" wrapText="1"/>
      <protection hidden="1"/>
    </xf>
    <xf numFmtId="9" fontId="1" fillId="0" borderId="19" xfId="0" applyNumberFormat="1" applyFont="1" applyBorder="1" applyAlignment="1" applyProtection="1">
      <alignment horizontal="center" vertical="center" wrapText="1"/>
      <protection hidden="1"/>
    </xf>
    <xf numFmtId="14" fontId="1" fillId="0" borderId="19" xfId="0" applyNumberFormat="1" applyFont="1" applyBorder="1" applyAlignment="1" applyProtection="1">
      <alignment vertical="center" wrapText="1"/>
      <protection hidden="1"/>
    </xf>
    <xf numFmtId="0" fontId="1" fillId="0" borderId="19" xfId="0" applyFont="1" applyBorder="1" applyAlignment="1" applyProtection="1">
      <alignment vertical="center" wrapText="1"/>
      <protection hidden="1"/>
    </xf>
    <xf numFmtId="166" fontId="1" fillId="0" borderId="19" xfId="0" applyNumberFormat="1" applyFont="1" applyBorder="1" applyAlignment="1" applyProtection="1">
      <alignment vertical="center" wrapText="1"/>
      <protection hidden="1"/>
    </xf>
    <xf numFmtId="3" fontId="1" fillId="0" borderId="19" xfId="0" applyNumberFormat="1" applyFont="1" applyBorder="1" applyAlignment="1" applyProtection="1">
      <alignment vertical="center" wrapText="1"/>
      <protection hidden="1"/>
    </xf>
    <xf numFmtId="166" fontId="1" fillId="0" borderId="19" xfId="0" applyNumberFormat="1" applyFont="1" applyBorder="1" applyAlignment="1" applyProtection="1">
      <alignment horizontal="center" vertical="center" wrapText="1"/>
      <protection hidden="1"/>
    </xf>
    <xf numFmtId="167" fontId="1" fillId="0" borderId="19" xfId="1" applyNumberFormat="1" applyFont="1" applyBorder="1" applyAlignment="1" applyProtection="1">
      <alignment vertical="center" wrapText="1"/>
      <protection hidden="1"/>
    </xf>
    <xf numFmtId="164" fontId="1" fillId="0" borderId="19" xfId="2" applyFont="1" applyBorder="1" applyAlignment="1" applyProtection="1">
      <alignment vertical="center" wrapText="1"/>
      <protection hidden="1"/>
    </xf>
    <xf numFmtId="0" fontId="0" fillId="0" borderId="19" xfId="0" applyBorder="1"/>
    <xf numFmtId="0" fontId="5" fillId="2" borderId="1" xfId="0" applyFont="1" applyFill="1" applyBorder="1" applyAlignment="1">
      <alignment vertical="center" wrapText="1"/>
    </xf>
    <xf numFmtId="0" fontId="5" fillId="2" borderId="1" xfId="0" applyFont="1" applyFill="1" applyBorder="1" applyAlignment="1" applyProtection="1">
      <alignment vertical="center" wrapText="1"/>
      <protection hidden="1"/>
    </xf>
    <xf numFmtId="0" fontId="5" fillId="2" borderId="1" xfId="0" applyFont="1" applyFill="1" applyBorder="1" applyAlignment="1" applyProtection="1">
      <alignment horizontal="center" vertical="center" wrapText="1"/>
      <protection hidden="1"/>
    </xf>
    <xf numFmtId="0" fontId="5" fillId="5" borderId="1" xfId="0" applyFont="1" applyFill="1" applyBorder="1" applyAlignment="1">
      <alignment vertical="center" wrapText="1"/>
    </xf>
    <xf numFmtId="0" fontId="0" fillId="5" borderId="1" xfId="0" applyFill="1" applyBorder="1"/>
    <xf numFmtId="0" fontId="5" fillId="0" borderId="18" xfId="0" applyFont="1" applyBorder="1" applyAlignment="1">
      <alignment vertical="center" wrapText="1"/>
    </xf>
    <xf numFmtId="0" fontId="5" fillId="0" borderId="17" xfId="0" applyFont="1" applyBorder="1" applyAlignment="1">
      <alignment vertical="center" wrapText="1"/>
    </xf>
    <xf numFmtId="0" fontId="5" fillId="0" borderId="23" xfId="0" applyFont="1" applyBorder="1" applyAlignment="1">
      <alignment vertical="center" wrapText="1"/>
    </xf>
    <xf numFmtId="0" fontId="4" fillId="5" borderId="23" xfId="0" applyFont="1" applyFill="1" applyBorder="1" applyAlignment="1">
      <alignment horizontal="justify" vertical="center" wrapText="1"/>
    </xf>
    <xf numFmtId="0" fontId="5" fillId="2" borderId="22" xfId="0" applyFont="1" applyFill="1" applyBorder="1" applyAlignment="1">
      <alignment vertical="center" wrapText="1"/>
    </xf>
    <xf numFmtId="0" fontId="3" fillId="11" borderId="23" xfId="0" applyFont="1" applyFill="1" applyBorder="1" applyAlignment="1">
      <alignment horizontal="center" vertical="center" wrapText="1"/>
    </xf>
    <xf numFmtId="0" fontId="5" fillId="5" borderId="22" xfId="0" applyFont="1" applyFill="1" applyBorder="1" applyAlignment="1">
      <alignment vertical="center" wrapText="1"/>
    </xf>
    <xf numFmtId="0" fontId="0" fillId="5" borderId="23" xfId="0" applyFill="1" applyBorder="1"/>
    <xf numFmtId="0" fontId="5" fillId="11" borderId="23" xfId="0" applyFont="1" applyFill="1" applyBorder="1" applyAlignment="1" applyProtection="1">
      <alignment horizontal="center" vertical="center" wrapText="1"/>
      <protection hidden="1"/>
    </xf>
    <xf numFmtId="0" fontId="18" fillId="11" borderId="23" xfId="0" applyFont="1" applyFill="1" applyBorder="1" applyAlignment="1">
      <alignment horizontal="center" vertical="center" wrapText="1"/>
    </xf>
    <xf numFmtId="0" fontId="5" fillId="2" borderId="23" xfId="0" applyFont="1" applyFill="1" applyBorder="1" applyAlignment="1" applyProtection="1">
      <alignment horizontal="center" vertical="center" wrapText="1"/>
      <protection hidden="1"/>
    </xf>
    <xf numFmtId="0" fontId="3" fillId="0" borderId="19" xfId="0" applyFont="1" applyFill="1" applyBorder="1" applyAlignment="1">
      <alignment horizontal="center" vertical="center" wrapText="1"/>
    </xf>
    <xf numFmtId="0" fontId="3" fillId="0" borderId="19" xfId="0" applyFont="1" applyFill="1" applyBorder="1" applyAlignment="1">
      <alignment horizontal="justify" vertical="center" wrapText="1"/>
    </xf>
    <xf numFmtId="0" fontId="3" fillId="0" borderId="19" xfId="0" applyFont="1" applyFill="1" applyBorder="1" applyAlignment="1">
      <alignment horizontal="left" vertical="center" wrapText="1"/>
    </xf>
    <xf numFmtId="14" fontId="3" fillId="0" borderId="19" xfId="0" applyNumberFormat="1" applyFont="1" applyFill="1" applyBorder="1" applyAlignment="1">
      <alignment horizontal="justify" vertical="center" wrapText="1"/>
    </xf>
    <xf numFmtId="168" fontId="5" fillId="0" borderId="19" xfId="3" applyNumberFormat="1" applyFont="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3" fillId="11" borderId="15" xfId="0" applyFont="1" applyFill="1" applyBorder="1" applyAlignment="1">
      <alignment horizontal="justify" vertical="center" wrapText="1"/>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4" fontId="1" fillId="0" borderId="1" xfId="0" applyNumberFormat="1" applyFont="1" applyFill="1" applyBorder="1" applyAlignment="1" applyProtection="1">
      <alignment horizontal="center" vertical="center" wrapText="1"/>
      <protection hidden="1"/>
    </xf>
    <xf numFmtId="4" fontId="0" fillId="0" borderId="1" xfId="0" applyNumberFormat="1" applyFill="1" applyBorder="1" applyAlignment="1">
      <alignment horizontal="center" vertical="center"/>
    </xf>
    <xf numFmtId="2" fontId="0" fillId="0" borderId="1" xfId="0" applyNumberForma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wrapText="1"/>
    </xf>
    <xf numFmtId="0" fontId="9" fillId="8" borderId="23" xfId="0" applyFont="1" applyFill="1" applyBorder="1" applyAlignment="1"/>
    <xf numFmtId="0" fontId="0" fillId="0" borderId="1" xfId="0" applyBorder="1" applyAlignment="1">
      <alignment wrapText="1"/>
    </xf>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9" fillId="5" borderId="1" xfId="0" applyFont="1" applyFill="1" applyBorder="1"/>
    <xf numFmtId="0" fontId="9" fillId="5" borderId="1" xfId="0" applyFont="1" applyFill="1" applyBorder="1" applyAlignment="1">
      <alignment horizontal="center"/>
    </xf>
    <xf numFmtId="0" fontId="9" fillId="5" borderId="1" xfId="0" applyFont="1" applyFill="1" applyBorder="1" applyAlignment="1">
      <alignment horizontal="center" vertical="center"/>
    </xf>
    <xf numFmtId="0" fontId="9" fillId="5" borderId="23" xfId="0" applyFont="1" applyFill="1" applyBorder="1"/>
    <xf numFmtId="0" fontId="9" fillId="5" borderId="23"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22" xfId="0" applyFont="1" applyFill="1" applyBorder="1"/>
    <xf numFmtId="0" fontId="9" fillId="5" borderId="1" xfId="0" applyFont="1" applyFill="1" applyBorder="1" applyAlignment="1"/>
    <xf numFmtId="0" fontId="9" fillId="0" borderId="1" xfId="0" applyFont="1" applyFill="1" applyBorder="1" applyAlignment="1">
      <alignment horizontal="center" vertical="center"/>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5" borderId="23" xfId="0" applyFill="1" applyBorder="1" applyAlignment="1">
      <alignment horizontal="center"/>
    </xf>
    <xf numFmtId="0" fontId="0" fillId="0" borderId="22" xfId="0" applyBorder="1" applyAlignment="1">
      <alignment horizontal="justify" vertical="center" wrapText="1"/>
    </xf>
    <xf numFmtId="0" fontId="0" fillId="5" borderId="23" xfId="0" applyFill="1" applyBorder="1" applyAlignment="1">
      <alignment horizontal="center" vertical="center"/>
    </xf>
    <xf numFmtId="0" fontId="0" fillId="5" borderId="22" xfId="0" applyFill="1" applyBorder="1"/>
    <xf numFmtId="0" fontId="9" fillId="5" borderId="23" xfId="0" applyFont="1" applyFill="1" applyBorder="1" applyAlignment="1"/>
    <xf numFmtId="3" fontId="0" fillId="0" borderId="1" xfId="0" applyNumberFormat="1" applyFill="1" applyBorder="1" applyAlignment="1">
      <alignment horizontal="center"/>
    </xf>
    <xf numFmtId="0" fontId="9" fillId="0" borderId="18" xfId="0" applyFont="1" applyBorder="1" applyAlignment="1">
      <alignment horizontal="center" vertical="center"/>
    </xf>
    <xf numFmtId="0" fontId="0" fillId="15" borderId="23" xfId="0" applyFill="1" applyBorder="1"/>
    <xf numFmtId="0" fontId="0" fillId="14" borderId="23" xfId="0" applyFill="1" applyBorder="1"/>
    <xf numFmtId="3" fontId="0" fillId="0" borderId="19" xfId="0" applyNumberFormat="1" applyFill="1" applyBorder="1" applyAlignment="1">
      <alignment horizontal="center"/>
    </xf>
    <xf numFmtId="0" fontId="0" fillId="15" borderId="15" xfId="0" applyFill="1" applyBorder="1"/>
    <xf numFmtId="0" fontId="9" fillId="0" borderId="16" xfId="0" applyFont="1" applyBorder="1" applyAlignment="1">
      <alignment horizontal="center"/>
    </xf>
    <xf numFmtId="0" fontId="9" fillId="0" borderId="18" xfId="0" applyFont="1" applyBorder="1" applyAlignment="1">
      <alignment horizontal="center"/>
    </xf>
    <xf numFmtId="0" fontId="9" fillId="0" borderId="17"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xf numFmtId="0" fontId="9" fillId="0" borderId="2" xfId="0" applyFont="1" applyBorder="1" applyAlignment="1">
      <alignment horizontal="center"/>
    </xf>
    <xf numFmtId="167" fontId="1" fillId="0" borderId="1" xfId="1" applyNumberFormat="1" applyFont="1" applyBorder="1" applyAlignment="1" applyProtection="1">
      <alignment horizontal="center" vertical="center" wrapText="1"/>
      <protection hidden="1"/>
    </xf>
    <xf numFmtId="167" fontId="1" fillId="0" borderId="19" xfId="1" applyNumberFormat="1"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0" borderId="19" xfId="0"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0" fillId="0" borderId="1" xfId="0" applyBorder="1" applyAlignment="1">
      <alignment horizontal="center"/>
    </xf>
    <xf numFmtId="0" fontId="0" fillId="0" borderId="19" xfId="0" applyBorder="1" applyAlignment="1">
      <alignment horizontal="center"/>
    </xf>
    <xf numFmtId="0" fontId="0" fillId="12" borderId="23" xfId="0" applyFill="1" applyBorder="1" applyAlignment="1">
      <alignment horizontal="center" vertical="center" wrapText="1"/>
    </xf>
    <xf numFmtId="0" fontId="0" fillId="12" borderId="15" xfId="0" applyFill="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166" fontId="1" fillId="0" borderId="1" xfId="0" applyNumberFormat="1" applyFont="1" applyBorder="1" applyAlignment="1" applyProtection="1">
      <alignment horizontal="center" vertical="center" wrapText="1"/>
      <protection locked="0"/>
    </xf>
    <xf numFmtId="166" fontId="1" fillId="0" borderId="19" xfId="0" applyNumberFormat="1" applyFont="1" applyBorder="1" applyAlignment="1" applyProtection="1">
      <alignment horizontal="center" vertical="center" wrapText="1"/>
      <protection locked="0"/>
    </xf>
    <xf numFmtId="3" fontId="1" fillId="0" borderId="1" xfId="0" applyNumberFormat="1" applyFont="1" applyBorder="1" applyAlignment="1" applyProtection="1">
      <alignment horizontal="center" vertical="center" wrapText="1"/>
      <protection hidden="1"/>
    </xf>
    <xf numFmtId="3" fontId="1" fillId="0" borderId="19" xfId="0" applyNumberFormat="1" applyFont="1" applyBorder="1" applyAlignment="1" applyProtection="1">
      <alignment horizontal="center" vertical="center" wrapText="1"/>
      <protection hidden="1"/>
    </xf>
    <xf numFmtId="1" fontId="1" fillId="0" borderId="1" xfId="0" applyNumberFormat="1" applyFont="1" applyBorder="1" applyAlignment="1" applyProtection="1">
      <alignment horizontal="center" vertical="center" wrapText="1"/>
      <protection hidden="1"/>
    </xf>
    <xf numFmtId="1" fontId="1" fillId="0" borderId="19" xfId="0" applyNumberFormat="1" applyFont="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166" fontId="1" fillId="0" borderId="19" xfId="0" applyNumberFormat="1" applyFont="1" applyFill="1" applyBorder="1" applyAlignment="1" applyProtection="1">
      <alignment horizontal="center" vertical="center" wrapText="1"/>
      <protection hidden="1"/>
    </xf>
    <xf numFmtId="0" fontId="1" fillId="0" borderId="22"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9" fontId="1" fillId="0" borderId="1" xfId="0" applyNumberFormat="1" applyFont="1" applyFill="1" applyBorder="1" applyAlignment="1" applyProtection="1">
      <alignment horizontal="center" vertical="center" wrapText="1"/>
      <protection locked="0"/>
    </xf>
    <xf numFmtId="166" fontId="1" fillId="0" borderId="1" xfId="0" applyNumberFormat="1" applyFont="1" applyFill="1" applyBorder="1" applyAlignment="1" applyProtection="1">
      <alignment horizontal="center" vertical="center" wrapText="1"/>
      <protection locked="0"/>
    </xf>
    <xf numFmtId="3" fontId="1" fillId="0" borderId="1" xfId="0" applyNumberFormat="1" applyFont="1" applyFill="1" applyBorder="1" applyAlignment="1" applyProtection="1">
      <alignment horizontal="center" vertical="center" wrapText="1"/>
      <protection hidden="1"/>
    </xf>
    <xf numFmtId="166" fontId="1" fillId="0" borderId="1" xfId="0" applyNumberFormat="1" applyFont="1" applyBorder="1" applyAlignment="1" applyProtection="1">
      <alignment horizontal="center" vertical="center" wrapText="1"/>
      <protection hidden="1"/>
    </xf>
    <xf numFmtId="166" fontId="1" fillId="0" borderId="19" xfId="0" applyNumberFormat="1" applyFont="1" applyBorder="1" applyAlignment="1" applyProtection="1">
      <alignment horizontal="center" vertical="center" wrapText="1"/>
      <protection hidden="1"/>
    </xf>
    <xf numFmtId="167" fontId="1" fillId="9" borderId="1" xfId="1" applyNumberFormat="1"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hidden="1"/>
    </xf>
    <xf numFmtId="0" fontId="7" fillId="9"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left" vertical="center" wrapText="1"/>
      <protection locked="0"/>
    </xf>
    <xf numFmtId="0" fontId="0" fillId="0" borderId="0" xfId="0" applyFill="1" applyAlignment="1">
      <alignment horizontal="center" vertical="center" wrapText="1"/>
    </xf>
    <xf numFmtId="0" fontId="0" fillId="0" borderId="0" xfId="0" applyFill="1" applyAlignment="1">
      <alignment horizontal="center" vertical="center"/>
    </xf>
    <xf numFmtId="166" fontId="7" fillId="0" borderId="1" xfId="0" applyNumberFormat="1" applyFont="1" applyFill="1" applyBorder="1" applyAlignment="1" applyProtection="1">
      <alignment horizontal="center" vertical="center" wrapText="1"/>
      <protection hidden="1"/>
    </xf>
    <xf numFmtId="0" fontId="0" fillId="0" borderId="1" xfId="0" applyFill="1" applyBorder="1" applyAlignment="1">
      <alignment horizontal="center"/>
    </xf>
    <xf numFmtId="9" fontId="1" fillId="0" borderId="1" xfId="0" applyNumberFormat="1" applyFont="1" applyBorder="1" applyAlignment="1" applyProtection="1">
      <alignment horizontal="center" vertical="center" wrapText="1"/>
      <protection locked="0"/>
    </xf>
    <xf numFmtId="0" fontId="0" fillId="0" borderId="1" xfId="0" applyBorder="1" applyAlignment="1">
      <alignment horizontal="justify" vertical="center" wrapText="1"/>
    </xf>
    <xf numFmtId="0" fontId="1" fillId="0" borderId="1" xfId="0" applyNumberFormat="1" applyFont="1" applyBorder="1" applyAlignment="1" applyProtection="1">
      <alignment horizontal="center" vertical="center" wrapText="1"/>
      <protection hidden="1"/>
    </xf>
    <xf numFmtId="0" fontId="0" fillId="0" borderId="1" xfId="0" applyFill="1" applyBorder="1" applyAlignment="1">
      <alignment horizontal="justify" vertical="center" wrapText="1"/>
    </xf>
    <xf numFmtId="0" fontId="0" fillId="8" borderId="23" xfId="0" applyFill="1" applyBorder="1" applyAlignment="1">
      <alignment horizontal="center" vertical="center" wrapText="1"/>
    </xf>
    <xf numFmtId="0" fontId="5" fillId="0" borderId="1" xfId="0" applyFont="1" applyFill="1" applyBorder="1" applyAlignment="1">
      <alignment horizontal="center" vertical="center" wrapText="1"/>
    </xf>
    <xf numFmtId="166" fontId="8" fillId="2" borderId="1" xfId="0" applyNumberFormat="1" applyFont="1" applyFill="1" applyBorder="1" applyAlignment="1" applyProtection="1">
      <alignment horizontal="center" vertical="center" wrapText="1"/>
      <protection hidden="1"/>
    </xf>
    <xf numFmtId="0" fontId="16" fillId="5" borderId="16" xfId="0" applyFont="1" applyFill="1" applyBorder="1" applyAlignment="1">
      <alignment horizontal="center" vertical="center"/>
    </xf>
    <xf numFmtId="0" fontId="16" fillId="5" borderId="18" xfId="0" applyFont="1" applyFill="1" applyBorder="1" applyAlignment="1">
      <alignment horizontal="center" vertical="center"/>
    </xf>
    <xf numFmtId="0" fontId="16" fillId="5" borderId="17" xfId="0" applyFont="1" applyFill="1" applyBorder="1" applyAlignment="1">
      <alignment horizontal="center" vertical="center"/>
    </xf>
    <xf numFmtId="0" fontId="16" fillId="5" borderId="22"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5" borderId="23" xfId="0" applyFont="1" applyFill="1" applyBorder="1" applyAlignment="1">
      <alignment horizontal="center" vertical="center" wrapText="1"/>
    </xf>
    <xf numFmtId="0" fontId="9" fillId="7" borderId="1" xfId="0" applyFont="1" applyFill="1" applyBorder="1" applyAlignment="1">
      <alignment horizontal="center"/>
    </xf>
    <xf numFmtId="0" fontId="8" fillId="0" borderId="1" xfId="0" applyFont="1" applyBorder="1" applyAlignment="1" applyProtection="1">
      <alignment horizontal="center" vertical="center" wrapText="1"/>
      <protection locked="0"/>
    </xf>
    <xf numFmtId="0" fontId="0" fillId="12" borderId="23" xfId="0" applyFill="1" applyBorder="1" applyAlignment="1">
      <alignment horizontal="center" vertical="center"/>
    </xf>
    <xf numFmtId="4" fontId="1" fillId="0" borderId="1" xfId="0" applyNumberFormat="1"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5" fillId="0" borderId="1" xfId="0" applyFont="1" applyBorder="1" applyAlignment="1" applyProtection="1">
      <alignment horizontal="center" vertical="center" wrapText="1"/>
      <protection hidden="1"/>
    </xf>
    <xf numFmtId="0" fontId="5" fillId="0" borderId="1" xfId="0" applyFont="1" applyBorder="1" applyAlignment="1">
      <alignment horizontal="center" vertical="center" wrapText="1"/>
    </xf>
    <xf numFmtId="0" fontId="14" fillId="0" borderId="22"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hidden="1"/>
    </xf>
    <xf numFmtId="0" fontId="0" fillId="11" borderId="23" xfId="0" applyFill="1" applyBorder="1" applyAlignment="1">
      <alignment horizontal="center" vertical="center"/>
    </xf>
    <xf numFmtId="0" fontId="11" fillId="5" borderId="23" xfId="0" applyFont="1" applyFill="1" applyBorder="1" applyAlignment="1">
      <alignment horizontal="center" vertical="center" wrapText="1"/>
    </xf>
    <xf numFmtId="0" fontId="5" fillId="11" borderId="23" xfId="0" applyFont="1" applyFill="1" applyBorder="1" applyAlignment="1" applyProtection="1">
      <alignment horizontal="center" vertical="center" wrapText="1"/>
      <protection hidden="1"/>
    </xf>
    <xf numFmtId="14"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2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9" xfId="0" applyFont="1" applyBorder="1" applyAlignment="1">
      <alignment horizontal="center" vertical="center" wrapText="1"/>
    </xf>
    <xf numFmtId="168" fontId="5" fillId="0" borderId="1" xfId="3" applyNumberFormat="1" applyFont="1" applyBorder="1" applyAlignment="1" applyProtection="1">
      <alignment horizontal="center" vertical="center" wrapText="1"/>
      <protection hidden="1"/>
    </xf>
    <xf numFmtId="0" fontId="17" fillId="5" borderId="16"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3" xfId="0" applyBorder="1" applyAlignment="1">
      <alignment horizontal="center" vertical="center" wrapText="1"/>
    </xf>
    <xf numFmtId="0" fontId="0" fillId="0" borderId="23" xfId="0" applyBorder="1" applyAlignment="1">
      <alignment horizontal="justify" vertical="center" wrapText="1"/>
    </xf>
    <xf numFmtId="0" fontId="0" fillId="14" borderId="1" xfId="0" applyFill="1" applyBorder="1" applyAlignment="1">
      <alignment horizontal="center" vertical="center" wrapText="1"/>
    </xf>
    <xf numFmtId="3" fontId="0" fillId="0" borderId="1" xfId="0" applyNumberFormat="1" applyBorder="1" applyAlignment="1">
      <alignment horizontal="center" vertical="center"/>
    </xf>
    <xf numFmtId="0" fontId="15" fillId="5" borderId="16" xfId="0" applyFont="1" applyFill="1" applyBorder="1" applyAlignment="1">
      <alignment horizontal="center"/>
    </xf>
    <xf numFmtId="0" fontId="15" fillId="5" borderId="18" xfId="0" applyFont="1" applyFill="1" applyBorder="1" applyAlignment="1">
      <alignment horizontal="center"/>
    </xf>
    <xf numFmtId="0" fontId="15" fillId="5" borderId="17" xfId="0" applyFont="1" applyFill="1" applyBorder="1" applyAlignment="1">
      <alignment horizontal="center"/>
    </xf>
    <xf numFmtId="0" fontId="9" fillId="8" borderId="22" xfId="0" applyFont="1" applyFill="1" applyBorder="1" applyAlignment="1">
      <alignment horizontal="center"/>
    </xf>
    <xf numFmtId="0" fontId="9" fillId="8" borderId="1" xfId="0" applyFont="1" applyFill="1" applyBorder="1" applyAlignment="1">
      <alignment horizontal="center"/>
    </xf>
    <xf numFmtId="9"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0" fillId="11" borderId="1" xfId="0" applyFill="1" applyBorder="1" applyAlignment="1">
      <alignment horizontal="center" vertical="center"/>
    </xf>
    <xf numFmtId="165" fontId="0" fillId="0" borderId="1" xfId="3" applyFont="1" applyBorder="1" applyAlignment="1">
      <alignment horizontal="center" vertical="center"/>
    </xf>
    <xf numFmtId="0" fontId="0" fillId="11" borderId="1" xfId="0" applyFill="1" applyBorder="1" applyAlignment="1">
      <alignment horizontal="center" vertical="center" wrapText="1"/>
    </xf>
    <xf numFmtId="0" fontId="0" fillId="16" borderId="1" xfId="0" applyFill="1" applyBorder="1" applyAlignment="1">
      <alignment horizontal="center" wrapText="1"/>
    </xf>
    <xf numFmtId="0" fontId="0" fillId="16" borderId="1" xfId="0" applyFill="1" applyBorder="1" applyAlignment="1">
      <alignment horizontal="center"/>
    </xf>
    <xf numFmtId="0" fontId="0" fillId="0" borderId="15" xfId="0" applyBorder="1" applyAlignment="1">
      <alignment horizontal="center" vertical="center" wrapText="1"/>
    </xf>
    <xf numFmtId="0" fontId="15" fillId="0" borderId="16" xfId="0" applyFont="1" applyBorder="1" applyAlignment="1">
      <alignment horizontal="center" wrapText="1"/>
    </xf>
    <xf numFmtId="0" fontId="15" fillId="0" borderId="18" xfId="0" applyFont="1" applyBorder="1" applyAlignment="1">
      <alignment horizontal="center" wrapText="1"/>
    </xf>
    <xf numFmtId="0" fontId="15" fillId="0" borderId="17" xfId="0" applyFont="1" applyBorder="1" applyAlignment="1">
      <alignment horizontal="center" wrapText="1"/>
    </xf>
    <xf numFmtId="0" fontId="0" fillId="14" borderId="1" xfId="0" applyFill="1" applyBorder="1" applyAlignment="1">
      <alignment horizontal="center" vertical="center"/>
    </xf>
    <xf numFmtId="0" fontId="12" fillId="0" borderId="22" xfId="0" applyFont="1" applyBorder="1" applyAlignment="1">
      <alignment horizontal="center" vertical="center"/>
    </xf>
    <xf numFmtId="0" fontId="9" fillId="10" borderId="1" xfId="0" applyFont="1" applyFill="1" applyBorder="1" applyAlignment="1">
      <alignment horizontal="center"/>
    </xf>
    <xf numFmtId="0" fontId="9" fillId="10" borderId="22" xfId="0" applyFont="1" applyFill="1" applyBorder="1" applyAlignment="1">
      <alignment horizontal="center"/>
    </xf>
    <xf numFmtId="0" fontId="0" fillId="13" borderId="23" xfId="0" applyFill="1" applyBorder="1" applyAlignment="1">
      <alignment horizontal="center" vertical="center" wrapText="1"/>
    </xf>
    <xf numFmtId="0" fontId="12" fillId="0" borderId="22" xfId="0" applyFont="1" applyFill="1" applyBorder="1" applyAlignment="1">
      <alignment horizontal="center" vertical="center"/>
    </xf>
    <xf numFmtId="9" fontId="0" fillId="0" borderId="1" xfId="0" applyNumberFormat="1" applyFill="1" applyBorder="1" applyAlignment="1">
      <alignment horizontal="center" vertical="center"/>
    </xf>
    <xf numFmtId="6" fontId="0" fillId="0" borderId="1" xfId="0" applyNumberFormat="1" applyBorder="1" applyAlignment="1">
      <alignment horizontal="center" vertical="center"/>
    </xf>
    <xf numFmtId="0" fontId="0" fillId="0" borderId="1" xfId="0" applyNumberFormat="1" applyBorder="1" applyAlignment="1">
      <alignment horizontal="center" vertical="center"/>
    </xf>
    <xf numFmtId="0" fontId="0" fillId="15" borderId="1" xfId="0" applyFill="1"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center" vertical="center" wrapText="1"/>
    </xf>
    <xf numFmtId="2" fontId="0" fillId="0" borderId="1" xfId="0" applyNumberFormat="1" applyBorder="1" applyAlignment="1">
      <alignment horizontal="center" vertical="center"/>
    </xf>
    <xf numFmtId="0" fontId="0" fillId="11" borderId="19" xfId="0" applyFill="1" applyBorder="1" applyAlignment="1">
      <alignment horizontal="center" vertical="center" wrapText="1"/>
    </xf>
    <xf numFmtId="9" fontId="0" fillId="0" borderId="19" xfId="0" applyNumberFormat="1" applyBorder="1" applyAlignment="1">
      <alignment horizontal="center" vertical="center"/>
    </xf>
    <xf numFmtId="0" fontId="0" fillId="0" borderId="19" xfId="0" applyNumberFormat="1" applyBorder="1" applyAlignment="1">
      <alignment horizontal="center" vertical="center"/>
    </xf>
    <xf numFmtId="0" fontId="12" fillId="0" borderId="14" xfId="0" applyFont="1" applyBorder="1" applyAlignment="1">
      <alignment horizontal="center" vertical="center"/>
    </xf>
    <xf numFmtId="0" fontId="0" fillId="10" borderId="1" xfId="0" applyFill="1" applyBorder="1" applyAlignment="1">
      <alignment horizontal="center" vertical="center" wrapText="1"/>
    </xf>
    <xf numFmtId="0" fontId="15" fillId="0" borderId="22" xfId="0" applyFont="1" applyBorder="1" applyAlignment="1">
      <alignment horizontal="center" wrapText="1"/>
    </xf>
    <xf numFmtId="0" fontId="15" fillId="0" borderId="1" xfId="0" applyFont="1" applyBorder="1" applyAlignment="1">
      <alignment horizontal="center" wrapText="1"/>
    </xf>
    <xf numFmtId="0" fontId="15" fillId="0" borderId="23" xfId="0" applyFont="1" applyBorder="1" applyAlignment="1">
      <alignment horizontal="center" wrapText="1"/>
    </xf>
    <xf numFmtId="0" fontId="0" fillId="0" borderId="1" xfId="0" applyBorder="1" applyAlignment="1">
      <alignment horizontal="justify" vertical="top"/>
    </xf>
    <xf numFmtId="0" fontId="7" fillId="5" borderId="2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 fillId="0" borderId="22" xfId="0" applyFont="1" applyBorder="1" applyAlignment="1">
      <alignment horizontal="justify" vertical="center" wrapText="1"/>
    </xf>
    <xf numFmtId="0" fontId="1" fillId="0" borderId="1" xfId="0" applyFont="1" applyBorder="1" applyAlignment="1">
      <alignment horizontal="center" vertical="center" wrapText="1"/>
    </xf>
    <xf numFmtId="0" fontId="9" fillId="5" borderId="1" xfId="0" applyFont="1" applyFill="1" applyBorder="1" applyAlignment="1">
      <alignment horizontal="center"/>
    </xf>
    <xf numFmtId="0" fontId="9" fillId="5" borderId="23" xfId="0" applyFont="1" applyFill="1" applyBorder="1" applyAlignment="1">
      <alignment horizontal="center"/>
    </xf>
    <xf numFmtId="0" fontId="9" fillId="5" borderId="1" xfId="0" applyFont="1" applyFill="1" applyBorder="1" applyAlignment="1">
      <alignment horizontal="center" vertical="center"/>
    </xf>
    <xf numFmtId="0" fontId="9" fillId="5" borderId="23" xfId="0" applyFont="1" applyFill="1" applyBorder="1" applyAlignment="1">
      <alignment horizontal="center" vertical="center"/>
    </xf>
    <xf numFmtId="0" fontId="0" fillId="14" borderId="23" xfId="0" applyFill="1" applyBorder="1" applyAlignment="1">
      <alignment horizontal="center" vertical="center" wrapText="1"/>
    </xf>
    <xf numFmtId="0" fontId="9" fillId="5" borderId="22" xfId="0" applyFont="1" applyFill="1" applyBorder="1" applyAlignment="1">
      <alignment horizontal="center" wrapText="1"/>
    </xf>
    <xf numFmtId="0" fontId="9" fillId="5" borderId="1" xfId="0" applyFont="1" applyFill="1" applyBorder="1" applyAlignment="1">
      <alignment horizontal="center" wrapText="1"/>
    </xf>
    <xf numFmtId="0" fontId="0" fillId="0" borderId="1" xfId="0" applyFont="1" applyBorder="1" applyAlignment="1">
      <alignment horizontal="justify" vertical="top"/>
    </xf>
    <xf numFmtId="0" fontId="0" fillId="11" borderId="23"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9" xfId="0" applyFont="1" applyBorder="1" applyAlignment="1">
      <alignment horizontal="center" vertical="center" wrapText="1"/>
    </xf>
    <xf numFmtId="0" fontId="0" fillId="11" borderId="15" xfId="0" applyFill="1" applyBorder="1" applyAlignment="1">
      <alignment horizontal="center" vertical="center" wrapText="1"/>
    </xf>
    <xf numFmtId="0" fontId="1" fillId="0" borderId="14" xfId="0" applyFont="1" applyBorder="1" applyAlignment="1">
      <alignment horizontal="justify" vertical="center" wrapText="1"/>
    </xf>
    <xf numFmtId="0" fontId="1" fillId="0" borderId="19"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wrapText="1"/>
    </xf>
    <xf numFmtId="0" fontId="0" fillId="0" borderId="1" xfId="0" applyFont="1" applyBorder="1" applyAlignment="1">
      <alignment horizontal="center" vertical="center"/>
    </xf>
    <xf numFmtId="0" fontId="16" fillId="0" borderId="16" xfId="0" applyFont="1" applyBorder="1" applyAlignment="1">
      <alignment horizontal="center"/>
    </xf>
    <xf numFmtId="0" fontId="16" fillId="0" borderId="18" xfId="0" applyFont="1" applyBorder="1" applyAlignment="1">
      <alignment horizontal="center"/>
    </xf>
    <xf numFmtId="0" fontId="16" fillId="0" borderId="17" xfId="0" applyFont="1" applyBorder="1" applyAlignment="1">
      <alignment horizontal="center"/>
    </xf>
    <xf numFmtId="0" fontId="9" fillId="11" borderId="23" xfId="0" applyFont="1" applyFill="1" applyBorder="1" applyAlignment="1">
      <alignment horizontal="center" vertical="center"/>
    </xf>
    <xf numFmtId="0" fontId="9" fillId="11" borderId="23"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12" fillId="5" borderId="1" xfId="0" applyFont="1" applyFill="1" applyBorder="1" applyAlignment="1">
      <alignment horizontal="center"/>
    </xf>
    <xf numFmtId="0" fontId="9" fillId="14" borderId="23" xfId="0" applyFont="1" applyFill="1" applyBorder="1" applyAlignment="1">
      <alignment horizontal="center" vertical="center" wrapText="1"/>
    </xf>
    <xf numFmtId="3" fontId="0" fillId="0" borderId="1" xfId="0" applyNumberFormat="1" applyFill="1" applyBorder="1" applyAlignment="1">
      <alignment horizontal="center" vertical="center"/>
    </xf>
    <xf numFmtId="3" fontId="0" fillId="0" borderId="19" xfId="0" applyNumberFormat="1" applyFill="1" applyBorder="1" applyAlignment="1">
      <alignment horizontal="center" vertical="center"/>
    </xf>
    <xf numFmtId="0" fontId="9" fillId="0" borderId="24"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xf>
  </cellXfs>
  <cellStyles count="4">
    <cellStyle name="Millares [0]" xfId="1" builtinId="6"/>
    <cellStyle name="Moneda" xfId="3" builtinId="4"/>
    <cellStyle name="Moneda [0]" xfId="2" builtinId="7"/>
    <cellStyle name="Normal" xfId="0" builtinId="0"/>
  </cellStyles>
  <dxfs count="79">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4" tint="0.39994506668294322"/>
        </patternFill>
      </fill>
    </dxf>
  </dxfs>
  <tableStyles count="0" defaultTableStyle="TableStyleMedium2" defaultPivotStyle="PivotStyleLight16"/>
  <colors>
    <mruColors>
      <color rgb="FFFF7C80"/>
      <color rgb="FFFBE4D1"/>
      <color rgb="FFF4E2D8"/>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N52"/>
  <sheetViews>
    <sheetView tabSelected="1" view="pageBreakPreview" zoomScale="70" zoomScaleNormal="90" zoomScaleSheetLayoutView="70" workbookViewId="0">
      <selection sqref="A1:AY1"/>
    </sheetView>
  </sheetViews>
  <sheetFormatPr baseColWidth="10" defaultRowHeight="15" x14ac:dyDescent="0.25"/>
  <cols>
    <col min="1" max="1" width="21.42578125" customWidth="1"/>
    <col min="2" max="2" width="18.7109375" customWidth="1"/>
    <col min="3" max="3" width="27.7109375" customWidth="1"/>
    <col min="4" max="4" width="20" customWidth="1"/>
    <col min="5" max="5" width="28.42578125" customWidth="1"/>
    <col min="6" max="6" width="19.28515625" customWidth="1"/>
    <col min="7" max="7" width="43.42578125" customWidth="1"/>
    <col min="8" max="8" width="25.7109375" customWidth="1"/>
    <col min="9" max="9" width="19.42578125" customWidth="1"/>
    <col min="10" max="10" width="20.42578125" customWidth="1"/>
    <col min="11" max="11" width="15.28515625" customWidth="1"/>
    <col min="12" max="12" width="14.42578125" bestFit="1" customWidth="1"/>
    <col min="13" max="13" width="25.140625" hidden="1" customWidth="1"/>
    <col min="14" max="14" width="19.42578125" hidden="1" customWidth="1"/>
    <col min="15" max="15" width="22.140625" customWidth="1"/>
    <col min="16" max="16" width="24.85546875" customWidth="1"/>
    <col min="17" max="17" width="28.28515625" customWidth="1"/>
    <col min="18" max="18" width="19.140625" hidden="1" customWidth="1"/>
    <col min="19" max="20" width="19.140625" customWidth="1"/>
    <col min="21" max="21" width="48.28515625" customWidth="1"/>
    <col min="22" max="23" width="25.42578125" customWidth="1"/>
    <col min="24" max="24" width="60.42578125" customWidth="1"/>
    <col min="25" max="25" width="17.28515625" hidden="1" customWidth="1"/>
    <col min="26" max="26" width="41.85546875" customWidth="1"/>
    <col min="27" max="29" width="21.7109375" customWidth="1"/>
    <col min="30" max="30" width="41.42578125" customWidth="1"/>
    <col min="31" max="31" width="28" customWidth="1"/>
    <col min="32" max="35" width="24.42578125" customWidth="1"/>
    <col min="36" max="36" width="16.85546875" hidden="1" customWidth="1"/>
    <col min="37" max="37" width="17" hidden="1" customWidth="1"/>
    <col min="38" max="38" width="16" hidden="1" customWidth="1"/>
    <col min="39" max="39" width="0" hidden="1" customWidth="1"/>
    <col min="40" max="40" width="68.140625" hidden="1" customWidth="1"/>
    <col min="41" max="41" width="19.28515625" hidden="1" customWidth="1"/>
    <col min="42" max="42" width="16.7109375" hidden="1" customWidth="1"/>
    <col min="43" max="43" width="17" hidden="1" customWidth="1"/>
    <col min="44" max="44" width="16.28515625" hidden="1" customWidth="1"/>
    <col min="45" max="45" width="18.42578125" hidden="1" customWidth="1"/>
    <col min="46" max="46" width="25.85546875" hidden="1" customWidth="1"/>
    <col min="47" max="47" width="20.28515625" hidden="1" customWidth="1"/>
    <col min="48" max="48" width="18.42578125" hidden="1" customWidth="1"/>
    <col min="49" max="49" width="0" hidden="1" customWidth="1"/>
    <col min="50" max="50" width="63.85546875" customWidth="1"/>
    <col min="51" max="51" width="16.42578125" customWidth="1"/>
  </cols>
  <sheetData>
    <row r="1" spans="1:66" s="28" customFormat="1" ht="33.75" x14ac:dyDescent="0.25">
      <c r="A1" s="297" t="s">
        <v>425</v>
      </c>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9"/>
    </row>
    <row r="2" spans="1:66" ht="33.75" x14ac:dyDescent="0.25">
      <c r="A2" s="300" t="s">
        <v>424</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2"/>
    </row>
    <row r="3" spans="1:66" hidden="1" x14ac:dyDescent="0.25">
      <c r="A3" s="167"/>
      <c r="B3" s="10"/>
      <c r="C3" s="10"/>
      <c r="D3" s="10"/>
      <c r="E3" s="10"/>
      <c r="F3" s="10"/>
      <c r="G3" s="10"/>
      <c r="H3" s="10" t="s">
        <v>46</v>
      </c>
      <c r="I3" s="10" t="s">
        <v>0</v>
      </c>
      <c r="J3" s="10"/>
      <c r="K3" s="10"/>
      <c r="L3" s="10"/>
      <c r="M3" s="10"/>
      <c r="N3" s="10"/>
      <c r="O3" s="10"/>
      <c r="P3" s="10"/>
      <c r="Q3" s="10"/>
      <c r="R3" s="10"/>
      <c r="S3" s="10"/>
      <c r="T3" s="10"/>
      <c r="U3" s="10"/>
      <c r="V3" s="10"/>
      <c r="W3" s="10"/>
      <c r="X3" s="10"/>
      <c r="Y3" s="10"/>
      <c r="Z3" s="10"/>
      <c r="AA3" s="10"/>
      <c r="AB3" s="10"/>
      <c r="AC3" s="10"/>
      <c r="AD3" s="10"/>
      <c r="AE3" s="303" t="s">
        <v>28</v>
      </c>
      <c r="AF3" s="303"/>
      <c r="AG3" s="303"/>
      <c r="AH3" s="303"/>
      <c r="AI3" s="10"/>
      <c r="AJ3" s="10"/>
      <c r="AK3" s="10"/>
      <c r="AL3" s="10"/>
      <c r="AM3" s="10"/>
      <c r="AN3" s="10"/>
      <c r="AO3" s="10"/>
      <c r="AP3" s="10"/>
      <c r="AQ3" s="10"/>
      <c r="AR3" s="10"/>
      <c r="AS3" s="10"/>
      <c r="AT3" s="10"/>
      <c r="AU3" s="10"/>
      <c r="AV3" s="10"/>
      <c r="AW3" s="10"/>
      <c r="AX3" s="10"/>
      <c r="AY3" s="168"/>
    </row>
    <row r="4" spans="1:66" s="64" customFormat="1" ht="129" customHeight="1" x14ac:dyDescent="0.25">
      <c r="A4" s="169" t="s">
        <v>1</v>
      </c>
      <c r="B4" s="127" t="s">
        <v>2</v>
      </c>
      <c r="C4" s="127" t="s">
        <v>3</v>
      </c>
      <c r="D4" s="127" t="s">
        <v>4</v>
      </c>
      <c r="E4" s="127" t="s">
        <v>44</v>
      </c>
      <c r="F4" s="127" t="s">
        <v>5</v>
      </c>
      <c r="G4" s="127" t="s">
        <v>385</v>
      </c>
      <c r="H4" s="127" t="s">
        <v>6</v>
      </c>
      <c r="I4" s="127" t="s">
        <v>7</v>
      </c>
      <c r="J4" s="127" t="s">
        <v>8</v>
      </c>
      <c r="K4" s="127" t="s">
        <v>9</v>
      </c>
      <c r="L4" s="127" t="s">
        <v>26</v>
      </c>
      <c r="M4" s="128" t="s">
        <v>27</v>
      </c>
      <c r="N4" s="127" t="s">
        <v>10</v>
      </c>
      <c r="O4" s="127" t="s">
        <v>43</v>
      </c>
      <c r="P4" s="127" t="s">
        <v>173</v>
      </c>
      <c r="Q4" s="127" t="s">
        <v>174</v>
      </c>
      <c r="R4" s="127" t="s">
        <v>175</v>
      </c>
      <c r="S4" s="127" t="s">
        <v>471</v>
      </c>
      <c r="T4" s="127" t="s">
        <v>472</v>
      </c>
      <c r="U4" s="127" t="s">
        <v>42</v>
      </c>
      <c r="V4" s="127" t="s">
        <v>176</v>
      </c>
      <c r="W4" s="127" t="s">
        <v>473</v>
      </c>
      <c r="X4" s="127" t="s">
        <v>412</v>
      </c>
      <c r="Y4" s="127"/>
      <c r="Z4" s="127" t="s">
        <v>80</v>
      </c>
      <c r="AA4" s="262" t="s">
        <v>474</v>
      </c>
      <c r="AB4" s="262"/>
      <c r="AC4" s="262"/>
      <c r="AD4" s="127" t="s">
        <v>388</v>
      </c>
      <c r="AE4" s="127" t="s">
        <v>73</v>
      </c>
      <c r="AF4" s="127" t="s">
        <v>78</v>
      </c>
      <c r="AG4" s="127" t="s">
        <v>74</v>
      </c>
      <c r="AH4" s="127" t="s">
        <v>75</v>
      </c>
      <c r="AI4" s="127" t="s">
        <v>391</v>
      </c>
      <c r="AJ4" s="129" t="s">
        <v>11</v>
      </c>
      <c r="AK4" s="127" t="s">
        <v>12</v>
      </c>
      <c r="AL4" s="127" t="s">
        <v>13</v>
      </c>
      <c r="AM4" s="130" t="s">
        <v>14</v>
      </c>
      <c r="AN4" s="127" t="s">
        <v>15</v>
      </c>
      <c r="AO4" s="127" t="s">
        <v>16</v>
      </c>
      <c r="AP4" s="127" t="s">
        <v>17</v>
      </c>
      <c r="AQ4" s="129" t="s">
        <v>18</v>
      </c>
      <c r="AR4" s="129" t="s">
        <v>19</v>
      </c>
      <c r="AS4" s="129" t="s">
        <v>20</v>
      </c>
      <c r="AT4" s="129" t="s">
        <v>21</v>
      </c>
      <c r="AU4" s="127" t="s">
        <v>22</v>
      </c>
      <c r="AV4" s="127" t="s">
        <v>23</v>
      </c>
      <c r="AW4" s="105"/>
      <c r="AX4" s="67" t="s">
        <v>389</v>
      </c>
      <c r="AY4" s="170" t="s">
        <v>390</v>
      </c>
    </row>
    <row r="5" spans="1:66" s="2" customFormat="1" ht="15.75" customHeight="1" x14ac:dyDescent="0.25">
      <c r="A5" s="171">
        <v>1</v>
      </c>
      <c r="B5" s="132"/>
      <c r="C5" s="131"/>
      <c r="D5" s="133"/>
      <c r="E5" s="134" t="e">
        <f>SUM(#REF!)</f>
        <v>#REF!</v>
      </c>
      <c r="F5" s="135"/>
      <c r="G5" s="131"/>
      <c r="H5" s="131"/>
      <c r="I5" s="136"/>
      <c r="J5" s="137"/>
      <c r="K5" s="136"/>
      <c r="L5" s="136"/>
      <c r="M5" s="136">
        <v>0</v>
      </c>
      <c r="N5" s="136">
        <v>41</v>
      </c>
      <c r="O5" s="138"/>
      <c r="P5" s="138">
        <v>28209465978</v>
      </c>
      <c r="Q5" s="138"/>
      <c r="R5" s="138"/>
      <c r="S5" s="138"/>
      <c r="T5" s="138"/>
      <c r="U5" s="138"/>
      <c r="V5" s="138"/>
      <c r="W5" s="138"/>
      <c r="X5" s="138"/>
      <c r="Y5" s="138"/>
      <c r="Z5" s="138"/>
      <c r="AA5" s="296"/>
      <c r="AB5" s="296"/>
      <c r="AC5" s="296"/>
      <c r="AD5" s="138"/>
      <c r="AE5" s="138"/>
      <c r="AF5" s="138"/>
      <c r="AG5" s="138"/>
      <c r="AH5" s="138"/>
      <c r="AI5" s="138"/>
      <c r="AJ5" s="139"/>
      <c r="AK5" s="140">
        <v>39630.868213785528</v>
      </c>
      <c r="AL5" s="138">
        <v>32818956061.727215</v>
      </c>
      <c r="AM5" s="137"/>
      <c r="AN5" s="136"/>
      <c r="AO5" s="136"/>
      <c r="AP5" s="136">
        <v>0</v>
      </c>
      <c r="AQ5" s="136"/>
      <c r="AR5" s="136"/>
      <c r="AS5" s="136"/>
      <c r="AT5" s="136"/>
      <c r="AU5" s="136"/>
      <c r="AV5" s="141"/>
      <c r="AW5" s="142"/>
      <c r="AX5" s="138"/>
      <c r="AY5" s="172"/>
    </row>
    <row r="6" spans="1:66" ht="71.25" customHeight="1" x14ac:dyDescent="0.25">
      <c r="A6" s="263">
        <f>A8</f>
        <v>1</v>
      </c>
      <c r="B6" s="265" t="s">
        <v>64</v>
      </c>
      <c r="C6" s="265"/>
      <c r="D6" s="290">
        <v>1</v>
      </c>
      <c r="E6" s="267">
        <v>533120000</v>
      </c>
      <c r="F6" s="105" t="s">
        <v>386</v>
      </c>
      <c r="G6" s="143" t="s">
        <v>256</v>
      </c>
      <c r="H6" s="6" t="s">
        <v>64</v>
      </c>
      <c r="I6" s="4" t="s">
        <v>46</v>
      </c>
      <c r="J6" s="5">
        <v>0.7</v>
      </c>
      <c r="K6" s="144" t="s">
        <v>71</v>
      </c>
      <c r="L6" s="144" t="s">
        <v>72</v>
      </c>
      <c r="M6" s="4" t="s">
        <v>46</v>
      </c>
      <c r="N6" s="4">
        <v>6.3</v>
      </c>
      <c r="O6" s="104">
        <v>282679456.36000001</v>
      </c>
      <c r="P6" s="104">
        <f>O6*0.7</f>
        <v>197875619.45199999</v>
      </c>
      <c r="Q6" s="104">
        <f>+P6</f>
        <v>197875619.45199999</v>
      </c>
      <c r="R6" s="107">
        <f>Q6/644350</f>
        <v>307.09338007604561</v>
      </c>
      <c r="S6" s="145">
        <f>E6/877803</f>
        <v>607.33444747853446</v>
      </c>
      <c r="T6" s="107">
        <f>Q6/644350</f>
        <v>307.09338007604561</v>
      </c>
      <c r="U6" s="146">
        <v>1130.28</v>
      </c>
      <c r="V6" s="107">
        <f>U6*0.7</f>
        <v>791.19599999999991</v>
      </c>
      <c r="W6" s="107">
        <f>V6</f>
        <v>791.19599999999991</v>
      </c>
      <c r="X6" s="29" t="s">
        <v>387</v>
      </c>
      <c r="Y6" s="269" t="b">
        <f>V6+V7&gt;=2694</f>
        <v>1</v>
      </c>
      <c r="Z6" s="269" t="str">
        <f>SUBSTITUTE(SUBSTITUTE(Y6,"VERDADERO","CUMPLE"),"FALSO","NO CUMPLE")</f>
        <v>CUMPLE</v>
      </c>
      <c r="AA6" s="269">
        <f>T6+T7</f>
        <v>874.99346698533407</v>
      </c>
      <c r="AB6" s="271">
        <f>W6+W7</f>
        <v>3537.6459999999997</v>
      </c>
      <c r="AC6" s="273" t="s">
        <v>46</v>
      </c>
      <c r="AD6" s="111" t="s">
        <v>46</v>
      </c>
      <c r="AE6" s="104" t="s">
        <v>77</v>
      </c>
      <c r="AF6" s="104" t="s">
        <v>77</v>
      </c>
      <c r="AG6" s="104" t="s">
        <v>393</v>
      </c>
      <c r="AH6" s="104" t="s">
        <v>393</v>
      </c>
      <c r="AI6" s="280" t="s">
        <v>46</v>
      </c>
      <c r="AJ6" s="147"/>
      <c r="AK6" s="147"/>
      <c r="AL6" s="13"/>
      <c r="AM6" s="4"/>
      <c r="AN6" s="65"/>
      <c r="AO6" s="250"/>
      <c r="AP6" s="252"/>
      <c r="AQ6" s="65"/>
      <c r="AR6" s="148"/>
      <c r="AS6" s="148"/>
      <c r="AT6" s="65"/>
      <c r="AU6" s="254"/>
      <c r="AV6" s="256"/>
      <c r="AW6" s="10"/>
      <c r="AX6" s="304"/>
      <c r="AY6" s="305" t="s">
        <v>395</v>
      </c>
    </row>
    <row r="7" spans="1:66" ht="60.75" customHeight="1" x14ac:dyDescent="0.25">
      <c r="A7" s="263"/>
      <c r="B7" s="265"/>
      <c r="C7" s="265"/>
      <c r="D7" s="290"/>
      <c r="E7" s="267"/>
      <c r="F7" s="105" t="s">
        <v>392</v>
      </c>
      <c r="G7" s="143" t="s">
        <v>247</v>
      </c>
      <c r="H7" s="6" t="s">
        <v>64</v>
      </c>
      <c r="I7" s="4" t="s">
        <v>24</v>
      </c>
      <c r="J7" s="5">
        <v>0.35</v>
      </c>
      <c r="K7" s="144">
        <v>41801</v>
      </c>
      <c r="L7" s="144">
        <v>42279</v>
      </c>
      <c r="M7" s="4" t="s">
        <v>46</v>
      </c>
      <c r="N7" s="15">
        <v>18</v>
      </c>
      <c r="O7" s="104">
        <v>1045504060</v>
      </c>
      <c r="P7" s="104">
        <f>O7*0.35</f>
        <v>365926421</v>
      </c>
      <c r="Q7" s="104">
        <f>P7</f>
        <v>365926421</v>
      </c>
      <c r="R7" s="107">
        <f>Q7/644350</f>
        <v>567.90008690928846</v>
      </c>
      <c r="S7" s="107"/>
      <c r="T7" s="107">
        <f>Q7/644350</f>
        <v>567.90008690928846</v>
      </c>
      <c r="U7" s="107">
        <f>812+425+870+800+750+600+530+588+547+1345+580</f>
        <v>7847</v>
      </c>
      <c r="V7" s="107">
        <f>U7*0.35</f>
        <v>2746.45</v>
      </c>
      <c r="W7" s="107">
        <f>V7</f>
        <v>2746.45</v>
      </c>
      <c r="X7" s="104" t="s">
        <v>46</v>
      </c>
      <c r="Y7" s="269"/>
      <c r="Z7" s="269"/>
      <c r="AA7" s="269"/>
      <c r="AB7" s="271"/>
      <c r="AC7" s="273"/>
      <c r="AD7" s="111" t="s">
        <v>46</v>
      </c>
      <c r="AE7" s="104" t="s">
        <v>79</v>
      </c>
      <c r="AF7" s="104" t="s">
        <v>79</v>
      </c>
      <c r="AG7" s="104" t="s">
        <v>393</v>
      </c>
      <c r="AH7" s="104" t="s">
        <v>393</v>
      </c>
      <c r="AI7" s="280"/>
      <c r="AJ7" s="147"/>
      <c r="AK7" s="147"/>
      <c r="AL7" s="13"/>
      <c r="AM7" s="4"/>
      <c r="AN7" s="65"/>
      <c r="AO7" s="250"/>
      <c r="AP7" s="252"/>
      <c r="AQ7" s="65"/>
      <c r="AR7" s="148"/>
      <c r="AS7" s="148"/>
      <c r="AT7" s="65"/>
      <c r="AU7" s="254"/>
      <c r="AV7" s="256"/>
      <c r="AW7" s="10"/>
      <c r="AX7" s="304"/>
      <c r="AY7" s="305"/>
    </row>
    <row r="8" spans="1:66" x14ac:dyDescent="0.25">
      <c r="A8" s="171">
        <v>1</v>
      </c>
      <c r="B8" s="132"/>
      <c r="C8" s="131"/>
      <c r="D8" s="133"/>
      <c r="E8" s="134">
        <f>SUM(E6:E7)</f>
        <v>533120000</v>
      </c>
      <c r="F8" s="135"/>
      <c r="G8" s="131"/>
      <c r="H8" s="131"/>
      <c r="I8" s="136"/>
      <c r="J8" s="137"/>
      <c r="K8" s="136"/>
      <c r="L8" s="136"/>
      <c r="M8" s="136">
        <v>0</v>
      </c>
      <c r="N8" s="136">
        <v>41</v>
      </c>
      <c r="O8" s="138"/>
      <c r="P8" s="138">
        <v>28209465978</v>
      </c>
      <c r="Q8" s="138"/>
      <c r="R8" s="138"/>
      <c r="S8" s="138"/>
      <c r="T8" s="138"/>
      <c r="U8" s="138"/>
      <c r="V8" s="138"/>
      <c r="W8" s="138"/>
      <c r="X8" s="138"/>
      <c r="Y8" s="138"/>
      <c r="Z8" s="138"/>
      <c r="AA8" s="296"/>
      <c r="AB8" s="296"/>
      <c r="AC8" s="296"/>
      <c r="AD8" s="138"/>
      <c r="AE8" s="138"/>
      <c r="AF8" s="138"/>
      <c r="AG8" s="138"/>
      <c r="AH8" s="138"/>
      <c r="AI8" s="138"/>
      <c r="AJ8" s="139"/>
      <c r="AK8" s="140">
        <v>39630.868213785528</v>
      </c>
      <c r="AL8" s="138">
        <v>32818956061.727215</v>
      </c>
      <c r="AM8" s="137"/>
      <c r="AN8" s="136"/>
      <c r="AO8" s="136"/>
      <c r="AP8" s="136">
        <v>0</v>
      </c>
      <c r="AQ8" s="136"/>
      <c r="AR8" s="136"/>
      <c r="AS8" s="136"/>
      <c r="AT8" s="136"/>
      <c r="AU8" s="136"/>
      <c r="AV8" s="141"/>
      <c r="AW8" s="10"/>
      <c r="AX8" s="138"/>
      <c r="AY8" s="172"/>
    </row>
    <row r="9" spans="1:66" ht="76.5" x14ac:dyDescent="0.25">
      <c r="A9" s="169" t="s">
        <v>1</v>
      </c>
      <c r="B9" s="127" t="s">
        <v>2</v>
      </c>
      <c r="C9" s="127" t="s">
        <v>3</v>
      </c>
      <c r="D9" s="127" t="s">
        <v>4</v>
      </c>
      <c r="E9" s="127" t="s">
        <v>44</v>
      </c>
      <c r="F9" s="127" t="s">
        <v>5</v>
      </c>
      <c r="G9" s="127" t="s">
        <v>385</v>
      </c>
      <c r="H9" s="128" t="s">
        <v>6</v>
      </c>
      <c r="I9" s="127" t="s">
        <v>7</v>
      </c>
      <c r="J9" s="127" t="s">
        <v>8</v>
      </c>
      <c r="K9" s="127" t="s">
        <v>9</v>
      </c>
      <c r="L9" s="127" t="s">
        <v>26</v>
      </c>
      <c r="M9" s="128" t="s">
        <v>27</v>
      </c>
      <c r="N9" s="127" t="s">
        <v>10</v>
      </c>
      <c r="O9" s="127" t="s">
        <v>43</v>
      </c>
      <c r="P9" s="127" t="s">
        <v>173</v>
      </c>
      <c r="Q9" s="127" t="s">
        <v>174</v>
      </c>
      <c r="R9" s="127" t="s">
        <v>175</v>
      </c>
      <c r="S9" s="127" t="s">
        <v>471</v>
      </c>
      <c r="T9" s="127" t="s">
        <v>472</v>
      </c>
      <c r="U9" s="127" t="s">
        <v>42</v>
      </c>
      <c r="V9" s="127" t="s">
        <v>176</v>
      </c>
      <c r="W9" s="127" t="s">
        <v>76</v>
      </c>
      <c r="X9" s="127" t="s">
        <v>412</v>
      </c>
      <c r="Y9" s="127"/>
      <c r="Z9" s="127" t="s">
        <v>80</v>
      </c>
      <c r="AA9" s="262" t="s">
        <v>474</v>
      </c>
      <c r="AB9" s="262"/>
      <c r="AC9" s="262"/>
      <c r="AD9" s="127" t="s">
        <v>388</v>
      </c>
      <c r="AE9" s="127" t="s">
        <v>73</v>
      </c>
      <c r="AF9" s="127" t="s">
        <v>78</v>
      </c>
      <c r="AG9" s="127" t="s">
        <v>74</v>
      </c>
      <c r="AH9" s="127" t="s">
        <v>75</v>
      </c>
      <c r="AI9" s="127" t="s">
        <v>408</v>
      </c>
      <c r="AJ9" s="129" t="s">
        <v>11</v>
      </c>
      <c r="AK9" s="127" t="s">
        <v>12</v>
      </c>
      <c r="AL9" s="127" t="s">
        <v>13</v>
      </c>
      <c r="AM9" s="130" t="s">
        <v>14</v>
      </c>
      <c r="AN9" s="127" t="s">
        <v>15</v>
      </c>
      <c r="AO9" s="127" t="s">
        <v>16</v>
      </c>
      <c r="AP9" s="127" t="s">
        <v>17</v>
      </c>
      <c r="AQ9" s="129" t="s">
        <v>18</v>
      </c>
      <c r="AR9" s="129" t="s">
        <v>19</v>
      </c>
      <c r="AS9" s="129" t="s">
        <v>20</v>
      </c>
      <c r="AT9" s="129" t="s">
        <v>21</v>
      </c>
      <c r="AU9" s="127" t="s">
        <v>22</v>
      </c>
      <c r="AV9" s="127" t="s">
        <v>23</v>
      </c>
      <c r="AW9" s="10"/>
      <c r="AX9" s="67" t="s">
        <v>389</v>
      </c>
      <c r="AY9" s="170" t="s">
        <v>390</v>
      </c>
    </row>
    <row r="10" spans="1:66" s="14" customFormat="1" ht="105" customHeight="1" x14ac:dyDescent="0.25">
      <c r="A10" s="275">
        <v>2</v>
      </c>
      <c r="B10" s="276" t="s">
        <v>65</v>
      </c>
      <c r="C10" s="295"/>
      <c r="D10" s="277">
        <v>1</v>
      </c>
      <c r="E10" s="278">
        <v>533120000</v>
      </c>
      <c r="F10" s="112" t="s">
        <v>326</v>
      </c>
      <c r="G10" s="3" t="s">
        <v>475</v>
      </c>
      <c r="H10" s="6" t="s">
        <v>260</v>
      </c>
      <c r="I10" s="15" t="s">
        <v>24</v>
      </c>
      <c r="J10" s="144" t="s">
        <v>322</v>
      </c>
      <c r="K10" s="71">
        <v>40556</v>
      </c>
      <c r="L10" s="71">
        <v>41271</v>
      </c>
      <c r="M10" s="66"/>
      <c r="N10" s="15">
        <v>23.8</v>
      </c>
      <c r="O10" s="13">
        <v>810291534.25999999</v>
      </c>
      <c r="P10" s="13">
        <f>+O10*0.3</f>
        <v>243087460.278</v>
      </c>
      <c r="Q10" s="13">
        <f>+P10</f>
        <v>243087460.278</v>
      </c>
      <c r="R10" s="145"/>
      <c r="S10" s="145">
        <f>E10/877803</f>
        <v>607.33444747853446</v>
      </c>
      <c r="T10" s="145">
        <f>Q10/566700</f>
        <v>428.95263857067232</v>
      </c>
      <c r="U10" s="72">
        <f>2582.02+2830.29+1385.1+1567.23+885</f>
        <v>9249.64</v>
      </c>
      <c r="V10" s="72">
        <f>+U10*0.3</f>
        <v>2774.8919999999998</v>
      </c>
      <c r="W10" s="72">
        <f>+V10</f>
        <v>2774.8919999999998</v>
      </c>
      <c r="X10" s="36" t="s">
        <v>397</v>
      </c>
      <c r="Y10" s="279" t="b">
        <f>V10+V11&gt;=2694</f>
        <v>1</v>
      </c>
      <c r="Z10" s="279" t="str">
        <f>SUBSTITUTE(SUBSTITUTE(Y10,"VERDADERO","CUMPLE"),"FALSO","NO CUMPLE")</f>
        <v>CUMPLE</v>
      </c>
      <c r="AA10" s="279">
        <f>T10+T11</f>
        <v>641.52046969825301</v>
      </c>
      <c r="AB10" s="279">
        <f>W10+W11</f>
        <v>10591.953000000001</v>
      </c>
      <c r="AC10" s="288" t="s">
        <v>476</v>
      </c>
      <c r="AD10" s="273" t="s">
        <v>46</v>
      </c>
      <c r="AE10" s="104" t="s">
        <v>261</v>
      </c>
      <c r="AF10" s="104" t="s">
        <v>261</v>
      </c>
      <c r="AG10" s="104" t="s">
        <v>262</v>
      </c>
      <c r="AH10" s="104" t="s">
        <v>262</v>
      </c>
      <c r="AI10" s="273" t="s">
        <v>46</v>
      </c>
      <c r="AJ10" s="149"/>
      <c r="AK10" s="149"/>
      <c r="AL10" s="150"/>
      <c r="AM10" s="151"/>
      <c r="AN10" s="66"/>
      <c r="AO10" s="282"/>
      <c r="AP10" s="283"/>
      <c r="AQ10" s="66"/>
      <c r="AR10" s="152"/>
      <c r="AS10" s="152"/>
      <c r="AT10" s="66"/>
      <c r="AU10" s="284"/>
      <c r="AV10" s="285"/>
      <c r="AW10" s="153"/>
      <c r="AX10" s="293" t="s">
        <v>477</v>
      </c>
      <c r="AY10" s="260" t="s">
        <v>478</v>
      </c>
      <c r="AZ10" s="16"/>
      <c r="BA10" s="16"/>
      <c r="BB10" s="16"/>
      <c r="BC10" s="16"/>
      <c r="BD10" s="16"/>
      <c r="BE10" s="16"/>
      <c r="BF10" s="16"/>
      <c r="BG10" s="16"/>
      <c r="BH10" s="16"/>
      <c r="BI10" s="16"/>
      <c r="BJ10" s="16"/>
      <c r="BK10" s="16"/>
      <c r="BL10" s="16"/>
      <c r="BM10" s="16"/>
      <c r="BN10" s="16"/>
    </row>
    <row r="11" spans="1:66" s="14" customFormat="1" ht="89.25" x14ac:dyDescent="0.25">
      <c r="A11" s="275"/>
      <c r="B11" s="276"/>
      <c r="C11" s="295"/>
      <c r="D11" s="277"/>
      <c r="E11" s="278"/>
      <c r="F11" s="112" t="s">
        <v>258</v>
      </c>
      <c r="G11" s="3" t="s">
        <v>479</v>
      </c>
      <c r="H11" s="6" t="s">
        <v>260</v>
      </c>
      <c r="I11" s="15" t="s">
        <v>24</v>
      </c>
      <c r="J11" s="5">
        <v>0.3</v>
      </c>
      <c r="K11" s="71">
        <v>40753</v>
      </c>
      <c r="L11" s="71">
        <v>41274</v>
      </c>
      <c r="M11" s="66"/>
      <c r="N11" s="154"/>
      <c r="O11" s="13">
        <v>401540633</v>
      </c>
      <c r="P11" s="13">
        <f>+O11*0.3</f>
        <v>120462189.89999999</v>
      </c>
      <c r="Q11" s="13">
        <f>+P11</f>
        <v>120462189.89999999</v>
      </c>
      <c r="R11" s="145"/>
      <c r="S11" s="145"/>
      <c r="T11" s="145">
        <f>Q11/566700</f>
        <v>212.56783112758072</v>
      </c>
      <c r="U11" s="72">
        <f>7584+9160.75+9312.12</f>
        <v>26056.870000000003</v>
      </c>
      <c r="V11" s="72">
        <f>+U11*0.3</f>
        <v>7817.0610000000006</v>
      </c>
      <c r="W11" s="72">
        <f>+V11</f>
        <v>7817.0610000000006</v>
      </c>
      <c r="X11" s="111" t="s">
        <v>46</v>
      </c>
      <c r="Y11" s="279"/>
      <c r="Z11" s="279"/>
      <c r="AA11" s="279"/>
      <c r="AB11" s="279"/>
      <c r="AC11" s="288"/>
      <c r="AD11" s="273"/>
      <c r="AE11" s="104" t="s">
        <v>263</v>
      </c>
      <c r="AF11" s="104" t="s">
        <v>263</v>
      </c>
      <c r="AG11" s="104" t="s">
        <v>263</v>
      </c>
      <c r="AH11" s="104" t="s">
        <v>263</v>
      </c>
      <c r="AI11" s="273"/>
      <c r="AJ11" s="149"/>
      <c r="AK11" s="149"/>
      <c r="AL11" s="150"/>
      <c r="AM11" s="151"/>
      <c r="AN11" s="66"/>
      <c r="AO11" s="282"/>
      <c r="AP11" s="283"/>
      <c r="AQ11" s="66"/>
      <c r="AR11" s="152"/>
      <c r="AS11" s="152"/>
      <c r="AT11" s="66"/>
      <c r="AU11" s="284"/>
      <c r="AV11" s="285"/>
      <c r="AW11" s="153"/>
      <c r="AX11" s="293"/>
      <c r="AY11" s="260"/>
      <c r="AZ11" s="16"/>
      <c r="BA11" s="16"/>
      <c r="BB11" s="16"/>
      <c r="BC11" s="16"/>
      <c r="BD11" s="16"/>
      <c r="BE11" s="16"/>
      <c r="BF11" s="16"/>
      <c r="BG11" s="16"/>
      <c r="BH11" s="16"/>
      <c r="BI11" s="16"/>
      <c r="BJ11" s="16"/>
      <c r="BK11" s="16"/>
      <c r="BL11" s="16"/>
      <c r="BM11" s="16"/>
      <c r="BN11" s="16"/>
    </row>
    <row r="12" spans="1:66" s="14" customFormat="1" ht="75.75" customHeight="1" x14ac:dyDescent="0.25">
      <c r="A12" s="275"/>
      <c r="B12" s="276"/>
      <c r="C12" s="295"/>
      <c r="D12" s="277"/>
      <c r="E12" s="278"/>
      <c r="F12" s="105" t="s">
        <v>259</v>
      </c>
      <c r="G12" s="3" t="s">
        <v>396</v>
      </c>
      <c r="H12" s="3" t="s">
        <v>65</v>
      </c>
      <c r="I12" s="15" t="s">
        <v>24</v>
      </c>
      <c r="J12" s="5">
        <v>1</v>
      </c>
      <c r="K12" s="71">
        <v>40837</v>
      </c>
      <c r="L12" s="71">
        <v>41182</v>
      </c>
      <c r="M12" s="66"/>
      <c r="N12" s="15"/>
      <c r="O12" s="13">
        <v>212610600</v>
      </c>
      <c r="P12" s="13">
        <f>+O12</f>
        <v>212610600</v>
      </c>
      <c r="Q12" s="13" t="s">
        <v>327</v>
      </c>
      <c r="R12" s="145"/>
      <c r="S12" s="145"/>
      <c r="T12" s="145"/>
      <c r="U12" s="13" t="s">
        <v>327</v>
      </c>
      <c r="V12" s="73"/>
      <c r="W12" s="13" t="s">
        <v>327</v>
      </c>
      <c r="X12" s="111"/>
      <c r="Y12" s="279"/>
      <c r="Z12" s="279"/>
      <c r="AA12" s="21"/>
      <c r="AB12" s="111"/>
      <c r="AC12" s="111"/>
      <c r="AD12" s="273"/>
      <c r="AE12" s="111"/>
      <c r="AF12" s="111"/>
      <c r="AG12" s="111"/>
      <c r="AH12" s="111"/>
      <c r="AI12" s="273"/>
      <c r="AJ12" s="149"/>
      <c r="AK12" s="149"/>
      <c r="AL12" s="150"/>
      <c r="AM12" s="151"/>
      <c r="AN12" s="66"/>
      <c r="AO12" s="282"/>
      <c r="AP12" s="283"/>
      <c r="AQ12" s="66"/>
      <c r="AR12" s="152"/>
      <c r="AS12" s="152"/>
      <c r="AT12" s="66"/>
      <c r="AU12" s="284"/>
      <c r="AV12" s="285"/>
      <c r="AW12" s="153"/>
      <c r="AX12" s="293"/>
      <c r="AY12" s="260"/>
      <c r="AZ12" s="16"/>
      <c r="BA12" s="16"/>
      <c r="BB12" s="16"/>
      <c r="BC12" s="16"/>
      <c r="BD12" s="16"/>
      <c r="BE12" s="16"/>
      <c r="BF12" s="16"/>
      <c r="BG12" s="16"/>
      <c r="BH12" s="16"/>
      <c r="BI12" s="16"/>
      <c r="BJ12" s="16"/>
      <c r="BK12" s="16"/>
      <c r="BL12" s="16"/>
      <c r="BM12" s="16"/>
      <c r="BN12" s="16"/>
    </row>
    <row r="13" spans="1:66" x14ac:dyDescent="0.25">
      <c r="A13" s="171">
        <v>1</v>
      </c>
      <c r="B13" s="155"/>
      <c r="C13" s="131"/>
      <c r="D13" s="133"/>
      <c r="E13" s="134">
        <f>SUM(E10:E12)</f>
        <v>533120000</v>
      </c>
      <c r="F13" s="135"/>
      <c r="G13" s="131"/>
      <c r="H13" s="131"/>
      <c r="I13" s="136"/>
      <c r="J13" s="137"/>
      <c r="K13" s="136"/>
      <c r="L13" s="136"/>
      <c r="M13" s="136">
        <v>0</v>
      </c>
      <c r="N13" s="136">
        <v>41</v>
      </c>
      <c r="O13" s="138"/>
      <c r="P13" s="138">
        <v>28209465978</v>
      </c>
      <c r="Q13" s="138"/>
      <c r="R13" s="138"/>
      <c r="S13" s="138"/>
      <c r="T13" s="138"/>
      <c r="U13" s="138"/>
      <c r="V13" s="138"/>
      <c r="W13" s="138"/>
      <c r="X13" s="138"/>
      <c r="Y13" s="138"/>
      <c r="Z13" s="138"/>
      <c r="AA13" s="138"/>
      <c r="AB13" s="138"/>
      <c r="AC13" s="138"/>
      <c r="AD13" s="138"/>
      <c r="AE13" s="138"/>
      <c r="AF13" s="138"/>
      <c r="AG13" s="138"/>
      <c r="AH13" s="138"/>
      <c r="AI13" s="138"/>
      <c r="AJ13" s="139"/>
      <c r="AK13" s="140">
        <v>39630.868213785528</v>
      </c>
      <c r="AL13" s="138">
        <v>32818956061.727215</v>
      </c>
      <c r="AM13" s="137"/>
      <c r="AN13" s="136"/>
      <c r="AO13" s="136"/>
      <c r="AP13" s="136">
        <v>0</v>
      </c>
      <c r="AQ13" s="136"/>
      <c r="AR13" s="136"/>
      <c r="AS13" s="136"/>
      <c r="AT13" s="136"/>
      <c r="AU13" s="136"/>
      <c r="AV13" s="141"/>
      <c r="AW13" s="10"/>
      <c r="AX13" s="138"/>
      <c r="AY13" s="172"/>
    </row>
    <row r="14" spans="1:66" ht="90" customHeight="1" x14ac:dyDescent="0.25">
      <c r="A14" s="169" t="s">
        <v>1</v>
      </c>
      <c r="B14" s="127" t="s">
        <v>2</v>
      </c>
      <c r="C14" s="127" t="s">
        <v>3</v>
      </c>
      <c r="D14" s="127" t="s">
        <v>4</v>
      </c>
      <c r="E14" s="127" t="s">
        <v>44</v>
      </c>
      <c r="F14" s="127" t="s">
        <v>5</v>
      </c>
      <c r="G14" s="127" t="s">
        <v>385</v>
      </c>
      <c r="H14" s="128" t="s">
        <v>6</v>
      </c>
      <c r="I14" s="127" t="s">
        <v>7</v>
      </c>
      <c r="J14" s="127" t="s">
        <v>8</v>
      </c>
      <c r="K14" s="127" t="s">
        <v>9</v>
      </c>
      <c r="L14" s="127" t="s">
        <v>26</v>
      </c>
      <c r="M14" s="128"/>
      <c r="N14" s="127" t="s">
        <v>10</v>
      </c>
      <c r="O14" s="127" t="s">
        <v>43</v>
      </c>
      <c r="P14" s="127" t="s">
        <v>173</v>
      </c>
      <c r="Q14" s="127" t="s">
        <v>177</v>
      </c>
      <c r="R14" s="127" t="s">
        <v>175</v>
      </c>
      <c r="S14" s="127" t="s">
        <v>471</v>
      </c>
      <c r="T14" s="127" t="s">
        <v>472</v>
      </c>
      <c r="U14" s="127" t="s">
        <v>42</v>
      </c>
      <c r="V14" s="127" t="s">
        <v>176</v>
      </c>
      <c r="W14" s="127" t="s">
        <v>126</v>
      </c>
      <c r="X14" s="127" t="s">
        <v>412</v>
      </c>
      <c r="Y14" s="127"/>
      <c r="Z14" s="127" t="s">
        <v>80</v>
      </c>
      <c r="AA14" s="262" t="s">
        <v>474</v>
      </c>
      <c r="AB14" s="262"/>
      <c r="AC14" s="262"/>
      <c r="AD14" s="127" t="s">
        <v>388</v>
      </c>
      <c r="AE14" s="127" t="s">
        <v>73</v>
      </c>
      <c r="AF14" s="127" t="s">
        <v>78</v>
      </c>
      <c r="AG14" s="127" t="s">
        <v>74</v>
      </c>
      <c r="AH14" s="127" t="s">
        <v>75</v>
      </c>
      <c r="AI14" s="127" t="s">
        <v>408</v>
      </c>
      <c r="AJ14" s="129" t="s">
        <v>11</v>
      </c>
      <c r="AK14" s="127" t="s">
        <v>12</v>
      </c>
      <c r="AL14" s="127" t="s">
        <v>13</v>
      </c>
      <c r="AM14" s="130" t="s">
        <v>14</v>
      </c>
      <c r="AN14" s="127" t="s">
        <v>15</v>
      </c>
      <c r="AO14" s="127" t="s">
        <v>16</v>
      </c>
      <c r="AP14" s="127" t="s">
        <v>17</v>
      </c>
      <c r="AQ14" s="129" t="s">
        <v>18</v>
      </c>
      <c r="AR14" s="129" t="s">
        <v>19</v>
      </c>
      <c r="AS14" s="129" t="s">
        <v>20</v>
      </c>
      <c r="AT14" s="129" t="s">
        <v>21</v>
      </c>
      <c r="AU14" s="127" t="s">
        <v>22</v>
      </c>
      <c r="AV14" s="127" t="s">
        <v>23</v>
      </c>
      <c r="AW14" s="10"/>
      <c r="AX14" s="67" t="s">
        <v>389</v>
      </c>
      <c r="AY14" s="170" t="s">
        <v>390</v>
      </c>
    </row>
    <row r="15" spans="1:66" ht="84" customHeight="1" x14ac:dyDescent="0.25">
      <c r="A15" s="263">
        <v>3</v>
      </c>
      <c r="B15" s="276" t="s">
        <v>66</v>
      </c>
      <c r="C15" s="3" t="s">
        <v>116</v>
      </c>
      <c r="D15" s="70">
        <v>0.75</v>
      </c>
      <c r="E15" s="267">
        <v>533120000</v>
      </c>
      <c r="F15" s="105" t="s">
        <v>399</v>
      </c>
      <c r="G15" s="3" t="s">
        <v>248</v>
      </c>
      <c r="H15" s="6" t="s">
        <v>118</v>
      </c>
      <c r="I15" s="4" t="s">
        <v>24</v>
      </c>
      <c r="J15" s="5">
        <v>1</v>
      </c>
      <c r="K15" s="71">
        <v>42726</v>
      </c>
      <c r="L15" s="71">
        <v>42982</v>
      </c>
      <c r="M15" s="65"/>
      <c r="N15" s="4">
        <v>9</v>
      </c>
      <c r="O15" s="13">
        <v>187557200</v>
      </c>
      <c r="P15" s="13">
        <f>O15*J15</f>
        <v>187557200</v>
      </c>
      <c r="Q15" s="13">
        <f>P15*0.75</f>
        <v>140667900</v>
      </c>
      <c r="R15" s="72">
        <f>Q15/737717</f>
        <v>190.68003041816849</v>
      </c>
      <c r="S15" s="72">
        <f>E15/877803</f>
        <v>607.33444747853446</v>
      </c>
      <c r="T15" s="72">
        <f>Q15/737317</f>
        <v>190.78347576415572</v>
      </c>
      <c r="U15" s="72">
        <v>1100</v>
      </c>
      <c r="V15" s="72">
        <f>U15*100%</f>
        <v>1100</v>
      </c>
      <c r="W15" s="72">
        <f>V15*0.75</f>
        <v>825</v>
      </c>
      <c r="X15" s="36" t="s">
        <v>480</v>
      </c>
      <c r="Y15" s="269" t="b">
        <f>W15+W16&gt;=2694</f>
        <v>0</v>
      </c>
      <c r="Z15" s="269" t="str">
        <f>SUBSTITUTE(SUBSTITUTE(Y15,"VERDADERO","CUMPLE"),"FALSO","NO CUMPLE")</f>
        <v>NO CUMPLE</v>
      </c>
      <c r="AA15" s="269">
        <f>T15+T16</f>
        <v>353.78792986518778</v>
      </c>
      <c r="AB15" s="269">
        <f>W15+W16</f>
        <v>1581.18</v>
      </c>
      <c r="AC15" s="288" t="s">
        <v>481</v>
      </c>
      <c r="AD15" s="104" t="s">
        <v>46</v>
      </c>
      <c r="AE15" s="104" t="s">
        <v>119</v>
      </c>
      <c r="AF15" s="104" t="s">
        <v>119</v>
      </c>
      <c r="AG15" s="104" t="s">
        <v>120</v>
      </c>
      <c r="AH15" s="104" t="s">
        <v>120</v>
      </c>
      <c r="AI15" s="280" t="s">
        <v>46</v>
      </c>
      <c r="AJ15" s="147"/>
      <c r="AK15" s="147"/>
      <c r="AL15" s="13"/>
      <c r="AM15" s="4"/>
      <c r="AN15" s="65"/>
      <c r="AO15" s="250"/>
      <c r="AP15" s="252"/>
      <c r="AQ15" s="65"/>
      <c r="AR15" s="148"/>
      <c r="AS15" s="148"/>
      <c r="AT15" s="65"/>
      <c r="AU15" s="254"/>
      <c r="AV15" s="256"/>
      <c r="AW15" s="10"/>
      <c r="AX15" s="293" t="s">
        <v>482</v>
      </c>
      <c r="AY15" s="294" t="s">
        <v>398</v>
      </c>
    </row>
    <row r="16" spans="1:66" ht="67.5" customHeight="1" x14ac:dyDescent="0.25">
      <c r="A16" s="263"/>
      <c r="B16" s="276"/>
      <c r="C16" s="3" t="s">
        <v>117</v>
      </c>
      <c r="D16" s="70">
        <v>0.25</v>
      </c>
      <c r="E16" s="267"/>
      <c r="F16" s="105" t="s">
        <v>524</v>
      </c>
      <c r="G16" s="3" t="s">
        <v>178</v>
      </c>
      <c r="H16" s="3" t="s">
        <v>117</v>
      </c>
      <c r="I16" s="4" t="s">
        <v>24</v>
      </c>
      <c r="J16" s="5">
        <v>0.75</v>
      </c>
      <c r="K16" s="71">
        <v>42019</v>
      </c>
      <c r="L16" s="71">
        <v>42214</v>
      </c>
      <c r="M16" s="65"/>
      <c r="N16" s="4">
        <v>7</v>
      </c>
      <c r="O16" s="13">
        <v>560170240</v>
      </c>
      <c r="P16" s="13">
        <f>O16*75%</f>
        <v>420127680</v>
      </c>
      <c r="Q16" s="13">
        <f>P16*0.25</f>
        <v>105031920</v>
      </c>
      <c r="R16" s="72">
        <f>Q16/644350</f>
        <v>163.00445410103205</v>
      </c>
      <c r="S16" s="72"/>
      <c r="T16" s="72">
        <f>Q16/644350</f>
        <v>163.00445410103205</v>
      </c>
      <c r="U16" s="72">
        <v>4032.96</v>
      </c>
      <c r="V16" s="72">
        <f>U16*75%</f>
        <v>3024.7200000000003</v>
      </c>
      <c r="W16" s="72">
        <f>V16*0.25</f>
        <v>756.18000000000006</v>
      </c>
      <c r="X16" s="10"/>
      <c r="Y16" s="269"/>
      <c r="Z16" s="269"/>
      <c r="AA16" s="269"/>
      <c r="AB16" s="292"/>
      <c r="AC16" s="288"/>
      <c r="AD16" s="104" t="s">
        <v>46</v>
      </c>
      <c r="AE16" s="104" t="s">
        <v>127</v>
      </c>
      <c r="AF16" s="104" t="s">
        <v>128</v>
      </c>
      <c r="AG16" s="104" t="s">
        <v>129</v>
      </c>
      <c r="AH16" s="104" t="s">
        <v>129</v>
      </c>
      <c r="AI16" s="280"/>
      <c r="AJ16" s="147"/>
      <c r="AK16" s="147"/>
      <c r="AL16" s="13"/>
      <c r="AM16" s="4"/>
      <c r="AN16" s="65"/>
      <c r="AO16" s="250"/>
      <c r="AP16" s="252"/>
      <c r="AQ16" s="65"/>
      <c r="AR16" s="148"/>
      <c r="AS16" s="148"/>
      <c r="AT16" s="65"/>
      <c r="AU16" s="254"/>
      <c r="AV16" s="256"/>
      <c r="AW16" s="10"/>
      <c r="AX16" s="293"/>
      <c r="AY16" s="294"/>
    </row>
    <row r="17" spans="1:64" x14ac:dyDescent="0.25">
      <c r="A17" s="171">
        <v>1</v>
      </c>
      <c r="B17" s="155"/>
      <c r="C17" s="131"/>
      <c r="D17" s="133"/>
      <c r="E17" s="134">
        <f>SUM(E15:E16)</f>
        <v>533120000</v>
      </c>
      <c r="F17" s="135"/>
      <c r="G17" s="131"/>
      <c r="H17" s="131"/>
      <c r="I17" s="136"/>
      <c r="J17" s="137"/>
      <c r="K17" s="136"/>
      <c r="L17" s="136"/>
      <c r="M17" s="136">
        <v>0</v>
      </c>
      <c r="N17" s="136">
        <v>41</v>
      </c>
      <c r="O17" s="138"/>
      <c r="P17" s="138">
        <v>28209465978</v>
      </c>
      <c r="Q17" s="138"/>
      <c r="R17" s="138"/>
      <c r="S17" s="138"/>
      <c r="T17" s="138"/>
      <c r="U17" s="138"/>
      <c r="V17" s="138"/>
      <c r="W17" s="138"/>
      <c r="X17" s="138"/>
      <c r="Y17" s="138"/>
      <c r="Z17" s="138"/>
      <c r="AA17" s="138"/>
      <c r="AB17" s="138"/>
      <c r="AC17" s="138"/>
      <c r="AD17" s="138"/>
      <c r="AE17" s="138"/>
      <c r="AF17" s="138"/>
      <c r="AG17" s="138"/>
      <c r="AH17" s="138"/>
      <c r="AI17" s="138"/>
      <c r="AJ17" s="139"/>
      <c r="AK17" s="140">
        <v>39630.868213785528</v>
      </c>
      <c r="AL17" s="138">
        <v>32818956061.727215</v>
      </c>
      <c r="AM17" s="137"/>
      <c r="AN17" s="136"/>
      <c r="AO17" s="136"/>
      <c r="AP17" s="136">
        <v>0</v>
      </c>
      <c r="AQ17" s="136"/>
      <c r="AR17" s="136"/>
      <c r="AS17" s="136"/>
      <c r="AT17" s="136"/>
      <c r="AU17" s="136"/>
      <c r="AV17" s="141"/>
      <c r="AW17" s="10"/>
      <c r="AX17" s="138"/>
      <c r="AY17" s="172"/>
    </row>
    <row r="18" spans="1:64" ht="105" customHeight="1" x14ac:dyDescent="0.25">
      <c r="A18" s="169" t="s">
        <v>1</v>
      </c>
      <c r="B18" s="127" t="s">
        <v>2</v>
      </c>
      <c r="C18" s="127" t="s">
        <v>3</v>
      </c>
      <c r="D18" s="127" t="s">
        <v>4</v>
      </c>
      <c r="E18" s="127" t="s">
        <v>44</v>
      </c>
      <c r="F18" s="127" t="s">
        <v>5</v>
      </c>
      <c r="G18" s="127" t="s">
        <v>385</v>
      </c>
      <c r="H18" s="128" t="s">
        <v>6</v>
      </c>
      <c r="I18" s="127" t="s">
        <v>7</v>
      </c>
      <c r="J18" s="127" t="s">
        <v>8</v>
      </c>
      <c r="K18" s="127" t="s">
        <v>9</v>
      </c>
      <c r="L18" s="127" t="s">
        <v>26</v>
      </c>
      <c r="M18" s="128" t="s">
        <v>27</v>
      </c>
      <c r="N18" s="127" t="s">
        <v>10</v>
      </c>
      <c r="O18" s="127" t="s">
        <v>43</v>
      </c>
      <c r="P18" s="127" t="s">
        <v>173</v>
      </c>
      <c r="Q18" s="127" t="s">
        <v>291</v>
      </c>
      <c r="R18" s="127" t="s">
        <v>175</v>
      </c>
      <c r="S18" s="127" t="s">
        <v>471</v>
      </c>
      <c r="T18" s="127" t="s">
        <v>472</v>
      </c>
      <c r="U18" s="127" t="s">
        <v>42</v>
      </c>
      <c r="V18" s="127" t="s">
        <v>176</v>
      </c>
      <c r="W18" s="127" t="s">
        <v>76</v>
      </c>
      <c r="X18" s="127" t="s">
        <v>412</v>
      </c>
      <c r="Y18" s="127"/>
      <c r="Z18" s="127" t="s">
        <v>80</v>
      </c>
      <c r="AA18" s="262" t="s">
        <v>474</v>
      </c>
      <c r="AB18" s="262"/>
      <c r="AC18" s="262"/>
      <c r="AD18" s="127" t="s">
        <v>388</v>
      </c>
      <c r="AE18" s="127" t="s">
        <v>73</v>
      </c>
      <c r="AF18" s="127" t="s">
        <v>78</v>
      </c>
      <c r="AG18" s="127" t="s">
        <v>74</v>
      </c>
      <c r="AH18" s="127" t="s">
        <v>75</v>
      </c>
      <c r="AI18" s="127" t="s">
        <v>408</v>
      </c>
      <c r="AJ18" s="129" t="s">
        <v>11</v>
      </c>
      <c r="AK18" s="127" t="s">
        <v>12</v>
      </c>
      <c r="AL18" s="127" t="s">
        <v>13</v>
      </c>
      <c r="AM18" s="130" t="s">
        <v>14</v>
      </c>
      <c r="AN18" s="127" t="s">
        <v>15</v>
      </c>
      <c r="AO18" s="127" t="s">
        <v>16</v>
      </c>
      <c r="AP18" s="127" t="s">
        <v>17</v>
      </c>
      <c r="AQ18" s="129" t="s">
        <v>18</v>
      </c>
      <c r="AR18" s="129" t="s">
        <v>19</v>
      </c>
      <c r="AS18" s="129" t="s">
        <v>20</v>
      </c>
      <c r="AT18" s="129" t="s">
        <v>21</v>
      </c>
      <c r="AU18" s="127" t="s">
        <v>22</v>
      </c>
      <c r="AV18" s="127" t="s">
        <v>23</v>
      </c>
      <c r="AW18" s="10"/>
      <c r="AX18" s="67" t="s">
        <v>389</v>
      </c>
      <c r="AY18" s="170" t="s">
        <v>390</v>
      </c>
    </row>
    <row r="19" spans="1:64" s="14" customFormat="1" ht="90" x14ac:dyDescent="0.25">
      <c r="A19" s="275">
        <v>4</v>
      </c>
      <c r="B19" s="276" t="s">
        <v>67</v>
      </c>
      <c r="C19" s="19" t="s">
        <v>288</v>
      </c>
      <c r="D19" s="20">
        <v>0.6</v>
      </c>
      <c r="E19" s="278">
        <v>533120000</v>
      </c>
      <c r="F19" s="112" t="s">
        <v>400</v>
      </c>
      <c r="G19" s="19" t="s">
        <v>402</v>
      </c>
      <c r="H19" s="110" t="s">
        <v>403</v>
      </c>
      <c r="I19" s="15" t="s">
        <v>24</v>
      </c>
      <c r="J19" s="62" t="s">
        <v>290</v>
      </c>
      <c r="K19" s="71">
        <v>41548</v>
      </c>
      <c r="L19" s="71">
        <v>41895</v>
      </c>
      <c r="M19" s="66"/>
      <c r="N19" s="17"/>
      <c r="O19" s="156">
        <v>677382291.10000002</v>
      </c>
      <c r="P19" s="21">
        <f>+O19*1</f>
        <v>677382291.10000002</v>
      </c>
      <c r="Q19" s="21">
        <f>+P19*1</f>
        <v>677382291.10000002</v>
      </c>
      <c r="R19" s="145"/>
      <c r="S19" s="145">
        <f>E19/877803</f>
        <v>607.33444747853446</v>
      </c>
      <c r="T19" s="145">
        <f>Q19/616000</f>
        <v>1099.6465764610391</v>
      </c>
      <c r="U19" s="25">
        <v>3451.29</v>
      </c>
      <c r="V19" s="25">
        <f>+U19*1</f>
        <v>3451.29</v>
      </c>
      <c r="W19" s="25">
        <f>+V19*1</f>
        <v>3451.29</v>
      </c>
      <c r="X19" s="18" t="s">
        <v>323</v>
      </c>
      <c r="Y19" s="279" t="b">
        <f>V19+V20&gt;=2694</f>
        <v>1</v>
      </c>
      <c r="Z19" s="279" t="str">
        <f>SUBSTITUTE(SUBSTITUTE(Y19,"VERDADERO","CUMPLE"),"FALSO","NO CUMPLE")</f>
        <v>CUMPLE</v>
      </c>
      <c r="AA19" s="279">
        <f>T19+T20</f>
        <v>1656.2574029140537</v>
      </c>
      <c r="AB19" s="279">
        <f>W19+W20</f>
        <v>4353.6449999999995</v>
      </c>
      <c r="AC19" s="273" t="s">
        <v>46</v>
      </c>
      <c r="AD19" s="273" t="s">
        <v>46</v>
      </c>
      <c r="AE19" s="21" t="s">
        <v>292</v>
      </c>
      <c r="AF19" s="111" t="s">
        <v>292</v>
      </c>
      <c r="AG19" s="111" t="s">
        <v>262</v>
      </c>
      <c r="AH19" s="111" t="s">
        <v>262</v>
      </c>
      <c r="AI19" s="273" t="s">
        <v>46</v>
      </c>
      <c r="AJ19" s="149"/>
      <c r="AK19" s="149"/>
      <c r="AL19" s="150"/>
      <c r="AM19" s="151"/>
      <c r="AN19" s="66"/>
      <c r="AO19" s="282"/>
      <c r="AP19" s="283"/>
      <c r="AQ19" s="66"/>
      <c r="AR19" s="152"/>
      <c r="AS19" s="152"/>
      <c r="AT19" s="66"/>
      <c r="AU19" s="284"/>
      <c r="AV19" s="285"/>
      <c r="AW19" s="153"/>
      <c r="AX19" s="289"/>
      <c r="AY19" s="260" t="s">
        <v>394</v>
      </c>
      <c r="AZ19" s="16"/>
      <c r="BA19" s="16"/>
      <c r="BB19" s="16"/>
      <c r="BC19" s="16"/>
      <c r="BD19" s="16"/>
      <c r="BE19" s="16"/>
      <c r="BF19" s="16"/>
      <c r="BG19" s="16"/>
      <c r="BH19" s="16"/>
      <c r="BI19" s="16"/>
      <c r="BJ19" s="16"/>
      <c r="BK19" s="16"/>
      <c r="BL19" s="16"/>
    </row>
    <row r="20" spans="1:64" s="14" customFormat="1" ht="228" customHeight="1" x14ac:dyDescent="0.25">
      <c r="A20" s="275"/>
      <c r="B20" s="276"/>
      <c r="C20" s="19" t="s">
        <v>289</v>
      </c>
      <c r="D20" s="20">
        <v>0.4</v>
      </c>
      <c r="E20" s="278"/>
      <c r="F20" s="112" t="s">
        <v>401</v>
      </c>
      <c r="G20" s="19" t="s">
        <v>404</v>
      </c>
      <c r="H20" s="18" t="s">
        <v>288</v>
      </c>
      <c r="I20" s="15" t="s">
        <v>24</v>
      </c>
      <c r="J20" s="5">
        <v>0.5</v>
      </c>
      <c r="K20" s="71">
        <v>41683</v>
      </c>
      <c r="L20" s="71">
        <v>42308</v>
      </c>
      <c r="M20" s="66"/>
      <c r="N20" s="17"/>
      <c r="O20" s="21">
        <v>1195507286.75</v>
      </c>
      <c r="P20" s="21">
        <f>+O20*0.5</f>
        <v>597753643.375</v>
      </c>
      <c r="Q20" s="21">
        <f>+P20*0.6</f>
        <v>358652186.02499998</v>
      </c>
      <c r="R20" s="145"/>
      <c r="S20" s="145"/>
      <c r="T20" s="145">
        <f>Q20/644350</f>
        <v>556.61082645301462</v>
      </c>
      <c r="U20" s="157" t="s">
        <v>324</v>
      </c>
      <c r="V20" s="145">
        <f>3007.85*0.5</f>
        <v>1503.925</v>
      </c>
      <c r="W20" s="145">
        <f>+V20*0.6</f>
        <v>902.3549999999999</v>
      </c>
      <c r="X20" s="18" t="s">
        <v>325</v>
      </c>
      <c r="Y20" s="279"/>
      <c r="Z20" s="279"/>
      <c r="AA20" s="279"/>
      <c r="AB20" s="279"/>
      <c r="AC20" s="273"/>
      <c r="AD20" s="273"/>
      <c r="AE20" s="21" t="s">
        <v>405</v>
      </c>
      <c r="AF20" s="111" t="s">
        <v>406</v>
      </c>
      <c r="AG20" s="111" t="s">
        <v>407</v>
      </c>
      <c r="AH20" s="111" t="s">
        <v>393</v>
      </c>
      <c r="AI20" s="273"/>
      <c r="AJ20" s="149"/>
      <c r="AK20" s="149"/>
      <c r="AL20" s="150"/>
      <c r="AM20" s="151"/>
      <c r="AN20" s="66"/>
      <c r="AO20" s="282"/>
      <c r="AP20" s="283"/>
      <c r="AQ20" s="66"/>
      <c r="AR20" s="152"/>
      <c r="AS20" s="152"/>
      <c r="AT20" s="66"/>
      <c r="AU20" s="284"/>
      <c r="AV20" s="285"/>
      <c r="AW20" s="153"/>
      <c r="AX20" s="289"/>
      <c r="AY20" s="260"/>
      <c r="AZ20" s="16"/>
      <c r="BA20" s="16"/>
      <c r="BB20" s="16"/>
      <c r="BC20" s="16"/>
      <c r="BD20" s="16"/>
      <c r="BE20" s="16"/>
      <c r="BF20" s="16"/>
      <c r="BG20" s="16"/>
      <c r="BH20" s="16"/>
      <c r="BI20" s="16"/>
      <c r="BJ20" s="16"/>
      <c r="BK20" s="16"/>
      <c r="BL20" s="16"/>
    </row>
    <row r="21" spans="1:64" x14ac:dyDescent="0.25">
      <c r="A21" s="171">
        <v>1</v>
      </c>
      <c r="B21" s="135"/>
      <c r="C21" s="131"/>
      <c r="D21" s="133"/>
      <c r="E21" s="134">
        <f>SUM(E19:E20)</f>
        <v>533120000</v>
      </c>
      <c r="F21" s="135"/>
      <c r="G21" s="131"/>
      <c r="H21" s="131"/>
      <c r="I21" s="136"/>
      <c r="J21" s="137"/>
      <c r="K21" s="136"/>
      <c r="L21" s="136"/>
      <c r="M21" s="136">
        <v>0</v>
      </c>
      <c r="N21" s="136">
        <v>41</v>
      </c>
      <c r="O21" s="138"/>
      <c r="P21" s="138">
        <v>28209465978</v>
      </c>
      <c r="Q21" s="138"/>
      <c r="R21" s="138"/>
      <c r="S21" s="138"/>
      <c r="T21" s="138"/>
      <c r="U21" s="138"/>
      <c r="V21" s="138"/>
      <c r="W21" s="138"/>
      <c r="X21" s="138"/>
      <c r="Y21" s="138"/>
      <c r="Z21" s="138"/>
      <c r="AA21" s="138"/>
      <c r="AB21" s="138"/>
      <c r="AC21" s="138"/>
      <c r="AD21" s="138"/>
      <c r="AE21" s="138"/>
      <c r="AF21" s="138"/>
      <c r="AG21" s="138"/>
      <c r="AH21" s="138"/>
      <c r="AI21" s="138"/>
      <c r="AJ21" s="139"/>
      <c r="AK21" s="140">
        <v>39630.868213785528</v>
      </c>
      <c r="AL21" s="138">
        <v>32818956061.727215</v>
      </c>
      <c r="AM21" s="137"/>
      <c r="AN21" s="136"/>
      <c r="AO21" s="136"/>
      <c r="AP21" s="136">
        <v>0</v>
      </c>
      <c r="AQ21" s="136"/>
      <c r="AR21" s="136"/>
      <c r="AS21" s="136"/>
      <c r="AT21" s="136"/>
      <c r="AU21" s="136"/>
      <c r="AV21" s="141"/>
      <c r="AW21" s="10"/>
      <c r="AX21" s="138"/>
      <c r="AY21" s="172"/>
    </row>
    <row r="22" spans="1:64" ht="98.25" customHeight="1" x14ac:dyDescent="0.25">
      <c r="A22" s="169" t="s">
        <v>1</v>
      </c>
      <c r="B22" s="127" t="s">
        <v>2</v>
      </c>
      <c r="C22" s="127" t="s">
        <v>3</v>
      </c>
      <c r="D22" s="127" t="s">
        <v>4</v>
      </c>
      <c r="E22" s="127" t="s">
        <v>44</v>
      </c>
      <c r="F22" s="127" t="s">
        <v>5</v>
      </c>
      <c r="G22" s="127" t="s">
        <v>385</v>
      </c>
      <c r="H22" s="128" t="s">
        <v>6</v>
      </c>
      <c r="I22" s="127" t="s">
        <v>7</v>
      </c>
      <c r="J22" s="127" t="s">
        <v>8</v>
      </c>
      <c r="K22" s="127" t="s">
        <v>9</v>
      </c>
      <c r="L22" s="127" t="s">
        <v>26</v>
      </c>
      <c r="M22" s="128" t="s">
        <v>27</v>
      </c>
      <c r="N22" s="127" t="s">
        <v>10</v>
      </c>
      <c r="O22" s="127" t="s">
        <v>43</v>
      </c>
      <c r="P22" s="127" t="s">
        <v>173</v>
      </c>
      <c r="Q22" s="127" t="s">
        <v>174</v>
      </c>
      <c r="R22" s="127" t="s">
        <v>175</v>
      </c>
      <c r="S22" s="127" t="s">
        <v>471</v>
      </c>
      <c r="T22" s="127" t="s">
        <v>472</v>
      </c>
      <c r="U22" s="127" t="s">
        <v>42</v>
      </c>
      <c r="V22" s="127" t="s">
        <v>176</v>
      </c>
      <c r="W22" s="127" t="s">
        <v>229</v>
      </c>
      <c r="X22" s="127" t="s">
        <v>412</v>
      </c>
      <c r="Y22" s="127"/>
      <c r="Z22" s="127" t="s">
        <v>80</v>
      </c>
      <c r="AA22" s="262" t="s">
        <v>474</v>
      </c>
      <c r="AB22" s="262"/>
      <c r="AC22" s="262"/>
      <c r="AD22" s="127" t="s">
        <v>388</v>
      </c>
      <c r="AE22" s="127" t="s">
        <v>73</v>
      </c>
      <c r="AF22" s="127" t="s">
        <v>78</v>
      </c>
      <c r="AG22" s="127" t="s">
        <v>74</v>
      </c>
      <c r="AH22" s="127" t="s">
        <v>75</v>
      </c>
      <c r="AI22" s="127" t="s">
        <v>408</v>
      </c>
      <c r="AJ22" s="129" t="s">
        <v>11</v>
      </c>
      <c r="AK22" s="127" t="s">
        <v>12</v>
      </c>
      <c r="AL22" s="127" t="s">
        <v>13</v>
      </c>
      <c r="AM22" s="130" t="s">
        <v>14</v>
      </c>
      <c r="AN22" s="127" t="s">
        <v>15</v>
      </c>
      <c r="AO22" s="127" t="s">
        <v>16</v>
      </c>
      <c r="AP22" s="127" t="s">
        <v>17</v>
      </c>
      <c r="AQ22" s="129" t="s">
        <v>18</v>
      </c>
      <c r="AR22" s="129" t="s">
        <v>19</v>
      </c>
      <c r="AS22" s="129" t="s">
        <v>20</v>
      </c>
      <c r="AT22" s="129" t="s">
        <v>21</v>
      </c>
      <c r="AU22" s="127" t="s">
        <v>22</v>
      </c>
      <c r="AV22" s="127" t="s">
        <v>23</v>
      </c>
      <c r="AW22" s="10"/>
      <c r="AX22" s="67" t="s">
        <v>389</v>
      </c>
      <c r="AY22" s="170" t="s">
        <v>390</v>
      </c>
    </row>
    <row r="23" spans="1:64" ht="38.25" customHeight="1" x14ac:dyDescent="0.25">
      <c r="A23" s="263">
        <v>5</v>
      </c>
      <c r="B23" s="265" t="s">
        <v>255</v>
      </c>
      <c r="C23" s="265"/>
      <c r="D23" s="290">
        <v>1</v>
      </c>
      <c r="E23" s="267">
        <v>533120000</v>
      </c>
      <c r="F23" s="265" t="s">
        <v>409</v>
      </c>
      <c r="G23" s="265" t="s">
        <v>410</v>
      </c>
      <c r="H23" s="265" t="s">
        <v>255</v>
      </c>
      <c r="I23" s="252" t="s">
        <v>24</v>
      </c>
      <c r="J23" s="307" t="s">
        <v>411</v>
      </c>
      <c r="K23" s="307">
        <v>42248</v>
      </c>
      <c r="L23" s="307">
        <v>43048</v>
      </c>
      <c r="M23" s="252" t="s">
        <v>0</v>
      </c>
      <c r="N23" s="252">
        <v>26</v>
      </c>
      <c r="O23" s="280">
        <v>526909559</v>
      </c>
      <c r="P23" s="280">
        <f>O23*50%</f>
        <v>263454779.5</v>
      </c>
      <c r="Q23" s="280">
        <f>P23*100%</f>
        <v>263454779.5</v>
      </c>
      <c r="R23" s="269">
        <f>Q23/737717</f>
        <v>357.12174112837306</v>
      </c>
      <c r="S23" s="269">
        <f>E23/877803</f>
        <v>607.33444747853446</v>
      </c>
      <c r="T23" s="269">
        <f>Q23/737177</f>
        <v>357.38334144988244</v>
      </c>
      <c r="U23" s="306">
        <v>13198.14</v>
      </c>
      <c r="V23" s="269">
        <f>U23*50%</f>
        <v>6599.07</v>
      </c>
      <c r="W23" s="269">
        <f>V23*100%</f>
        <v>6599.07</v>
      </c>
      <c r="X23" s="308" t="s">
        <v>483</v>
      </c>
      <c r="Y23" s="269" t="b">
        <f>V23+V24&gt;=2694</f>
        <v>1</v>
      </c>
      <c r="Z23" s="269" t="str">
        <f>SUBSTITUTE(SUBSTITUTE(Y23,"VERDADERO","CUMPLE"),"FALSO","NO CUMPLE")</f>
        <v>CUMPLE</v>
      </c>
      <c r="AA23" s="269">
        <f>T23+T28</f>
        <v>3315.5178087102731</v>
      </c>
      <c r="AB23" s="269">
        <f>W23+W28</f>
        <v>24748.6885</v>
      </c>
      <c r="AC23" s="280" t="s">
        <v>484</v>
      </c>
      <c r="AD23" s="280" t="s">
        <v>46</v>
      </c>
      <c r="AE23" s="280" t="s">
        <v>413</v>
      </c>
      <c r="AF23" s="280" t="s">
        <v>413</v>
      </c>
      <c r="AG23" s="280" t="s">
        <v>413</v>
      </c>
      <c r="AH23" s="280" t="s">
        <v>413</v>
      </c>
      <c r="AI23" s="280" t="s">
        <v>46</v>
      </c>
      <c r="AJ23" s="147"/>
      <c r="AK23" s="147"/>
      <c r="AL23" s="13"/>
      <c r="AM23" s="4"/>
      <c r="AN23" s="65"/>
      <c r="AO23" s="250"/>
      <c r="AP23" s="252"/>
      <c r="AQ23" s="65"/>
      <c r="AR23" s="148"/>
      <c r="AS23" s="148"/>
      <c r="AT23" s="65"/>
      <c r="AU23" s="254"/>
      <c r="AV23" s="256"/>
      <c r="AW23" s="10"/>
      <c r="AX23" s="291" t="s">
        <v>485</v>
      </c>
      <c r="AY23" s="260" t="s">
        <v>478</v>
      </c>
    </row>
    <row r="24" spans="1:64" x14ac:dyDescent="0.25">
      <c r="A24" s="263"/>
      <c r="B24" s="265"/>
      <c r="C24" s="265"/>
      <c r="D24" s="290"/>
      <c r="E24" s="267"/>
      <c r="F24" s="265"/>
      <c r="G24" s="265"/>
      <c r="H24" s="265"/>
      <c r="I24" s="252"/>
      <c r="J24" s="307"/>
      <c r="K24" s="307"/>
      <c r="L24" s="307"/>
      <c r="M24" s="252"/>
      <c r="N24" s="252"/>
      <c r="O24" s="280"/>
      <c r="P24" s="280"/>
      <c r="Q24" s="280"/>
      <c r="R24" s="269"/>
      <c r="S24" s="269"/>
      <c r="T24" s="269"/>
      <c r="U24" s="306"/>
      <c r="V24" s="269"/>
      <c r="W24" s="269"/>
      <c r="X24" s="308"/>
      <c r="Y24" s="269"/>
      <c r="Z24" s="269"/>
      <c r="AA24" s="269"/>
      <c r="AB24" s="269"/>
      <c r="AC24" s="280"/>
      <c r="AD24" s="280"/>
      <c r="AE24" s="280"/>
      <c r="AF24" s="280"/>
      <c r="AG24" s="280"/>
      <c r="AH24" s="280"/>
      <c r="AI24" s="280"/>
      <c r="AJ24" s="147"/>
      <c r="AK24" s="147"/>
      <c r="AL24" s="13"/>
      <c r="AM24" s="4"/>
      <c r="AN24" s="65"/>
      <c r="AO24" s="250"/>
      <c r="AP24" s="252"/>
      <c r="AQ24" s="65"/>
      <c r="AR24" s="148"/>
      <c r="AS24" s="148"/>
      <c r="AT24" s="65"/>
      <c r="AU24" s="254"/>
      <c r="AV24" s="256"/>
      <c r="AW24" s="10"/>
      <c r="AX24" s="291"/>
      <c r="AY24" s="260"/>
    </row>
    <row r="25" spans="1:64" x14ac:dyDescent="0.25">
      <c r="A25" s="263"/>
      <c r="B25" s="265"/>
      <c r="C25" s="265"/>
      <c r="D25" s="290"/>
      <c r="E25" s="267"/>
      <c r="F25" s="265"/>
      <c r="G25" s="265"/>
      <c r="H25" s="265"/>
      <c r="I25" s="252"/>
      <c r="J25" s="307"/>
      <c r="K25" s="307"/>
      <c r="L25" s="307"/>
      <c r="M25" s="252"/>
      <c r="N25" s="252"/>
      <c r="O25" s="280"/>
      <c r="P25" s="280"/>
      <c r="Q25" s="280"/>
      <c r="R25" s="269"/>
      <c r="S25" s="269"/>
      <c r="T25" s="269"/>
      <c r="U25" s="306"/>
      <c r="V25" s="269"/>
      <c r="W25" s="269"/>
      <c r="X25" s="308"/>
      <c r="Y25" s="269"/>
      <c r="Z25" s="269"/>
      <c r="AA25" s="269"/>
      <c r="AB25" s="269"/>
      <c r="AC25" s="280"/>
      <c r="AD25" s="280"/>
      <c r="AE25" s="280"/>
      <c r="AF25" s="280"/>
      <c r="AG25" s="280"/>
      <c r="AH25" s="280"/>
      <c r="AI25" s="280"/>
      <c r="AJ25" s="147"/>
      <c r="AK25" s="147"/>
      <c r="AL25" s="13"/>
      <c r="AM25" s="4"/>
      <c r="AN25" s="65"/>
      <c r="AO25" s="250"/>
      <c r="AP25" s="252"/>
      <c r="AQ25" s="65"/>
      <c r="AR25" s="148"/>
      <c r="AS25" s="148"/>
      <c r="AT25" s="65"/>
      <c r="AU25" s="254"/>
      <c r="AV25" s="256"/>
      <c r="AW25" s="10"/>
      <c r="AX25" s="291"/>
      <c r="AY25" s="260"/>
    </row>
    <row r="26" spans="1:64" x14ac:dyDescent="0.25">
      <c r="A26" s="263"/>
      <c r="B26" s="265"/>
      <c r="C26" s="265"/>
      <c r="D26" s="290"/>
      <c r="E26" s="267"/>
      <c r="F26" s="265"/>
      <c r="G26" s="265"/>
      <c r="H26" s="265"/>
      <c r="I26" s="252"/>
      <c r="J26" s="307"/>
      <c r="K26" s="307"/>
      <c r="L26" s="307"/>
      <c r="M26" s="252"/>
      <c r="N26" s="252"/>
      <c r="O26" s="280"/>
      <c r="P26" s="280"/>
      <c r="Q26" s="280"/>
      <c r="R26" s="269"/>
      <c r="S26" s="269"/>
      <c r="T26" s="269"/>
      <c r="U26" s="306"/>
      <c r="V26" s="269"/>
      <c r="W26" s="269"/>
      <c r="X26" s="308"/>
      <c r="Y26" s="269"/>
      <c r="Z26" s="269"/>
      <c r="AA26" s="269"/>
      <c r="AB26" s="269"/>
      <c r="AC26" s="280"/>
      <c r="AD26" s="280"/>
      <c r="AE26" s="280"/>
      <c r="AF26" s="280"/>
      <c r="AG26" s="280"/>
      <c r="AH26" s="280"/>
      <c r="AI26" s="280"/>
      <c r="AJ26" s="147"/>
      <c r="AK26" s="147"/>
      <c r="AL26" s="13"/>
      <c r="AM26" s="4"/>
      <c r="AN26" s="65"/>
      <c r="AO26" s="250"/>
      <c r="AP26" s="252"/>
      <c r="AQ26" s="65"/>
      <c r="AR26" s="148"/>
      <c r="AS26" s="148"/>
      <c r="AT26" s="65"/>
      <c r="AU26" s="254"/>
      <c r="AV26" s="256"/>
      <c r="AW26" s="10"/>
      <c r="AX26" s="291"/>
      <c r="AY26" s="260"/>
    </row>
    <row r="27" spans="1:64" ht="84.75" customHeight="1" x14ac:dyDescent="0.25">
      <c r="A27" s="263"/>
      <c r="B27" s="265"/>
      <c r="C27" s="265"/>
      <c r="D27" s="290"/>
      <c r="E27" s="267"/>
      <c r="F27" s="265"/>
      <c r="G27" s="265"/>
      <c r="H27" s="265"/>
      <c r="I27" s="252"/>
      <c r="J27" s="307"/>
      <c r="K27" s="307"/>
      <c r="L27" s="307"/>
      <c r="M27" s="252"/>
      <c r="N27" s="252"/>
      <c r="O27" s="280"/>
      <c r="P27" s="280"/>
      <c r="Q27" s="280"/>
      <c r="R27" s="269"/>
      <c r="S27" s="269"/>
      <c r="T27" s="269"/>
      <c r="U27" s="306"/>
      <c r="V27" s="269"/>
      <c r="W27" s="269"/>
      <c r="X27" s="308"/>
      <c r="Y27" s="269"/>
      <c r="Z27" s="269"/>
      <c r="AA27" s="269"/>
      <c r="AB27" s="269"/>
      <c r="AC27" s="280"/>
      <c r="AD27" s="280"/>
      <c r="AE27" s="280"/>
      <c r="AF27" s="280"/>
      <c r="AG27" s="280"/>
      <c r="AH27" s="280"/>
      <c r="AI27" s="280"/>
      <c r="AJ27" s="147"/>
      <c r="AK27" s="147"/>
      <c r="AL27" s="13"/>
      <c r="AM27" s="4"/>
      <c r="AN27" s="65"/>
      <c r="AO27" s="250"/>
      <c r="AP27" s="252"/>
      <c r="AQ27" s="65"/>
      <c r="AR27" s="148"/>
      <c r="AS27" s="148"/>
      <c r="AT27" s="65"/>
      <c r="AU27" s="254"/>
      <c r="AV27" s="256"/>
      <c r="AW27" s="10"/>
      <c r="AX27" s="291"/>
      <c r="AY27" s="260"/>
    </row>
    <row r="28" spans="1:64" ht="109.5" customHeight="1" x14ac:dyDescent="0.25">
      <c r="A28" s="173"/>
      <c r="B28" s="105"/>
      <c r="C28" s="105"/>
      <c r="D28" s="290"/>
      <c r="E28" s="106"/>
      <c r="F28" s="105" t="s">
        <v>486</v>
      </c>
      <c r="G28" s="105" t="s">
        <v>487</v>
      </c>
      <c r="H28" s="105" t="s">
        <v>255</v>
      </c>
      <c r="I28" s="4" t="s">
        <v>24</v>
      </c>
      <c r="J28" s="5">
        <v>0.65</v>
      </c>
      <c r="K28" s="144">
        <v>40249</v>
      </c>
      <c r="L28" s="144">
        <v>41527</v>
      </c>
      <c r="M28" s="4"/>
      <c r="N28" s="4"/>
      <c r="O28" s="104">
        <f>2243525214+439275199</f>
        <v>2682800413</v>
      </c>
      <c r="P28" s="104">
        <f>O28*65%</f>
        <v>1743820268.45</v>
      </c>
      <c r="Q28" s="104">
        <f>P28*100%</f>
        <v>1743820268.45</v>
      </c>
      <c r="R28" s="107"/>
      <c r="S28" s="107"/>
      <c r="T28" s="107">
        <f>Q28/589500</f>
        <v>2958.1344672603905</v>
      </c>
      <c r="U28" s="158">
        <f>26608.38+1314.11</f>
        <v>27922.49</v>
      </c>
      <c r="V28" s="107">
        <f>U28*65%</f>
        <v>18149.6185</v>
      </c>
      <c r="W28" s="107">
        <f>V28*100%</f>
        <v>18149.6185</v>
      </c>
      <c r="X28" s="36" t="s">
        <v>488</v>
      </c>
      <c r="Y28" s="107"/>
      <c r="Z28" s="269"/>
      <c r="AA28" s="269"/>
      <c r="AB28" s="269"/>
      <c r="AC28" s="280"/>
      <c r="AD28" s="104" t="s">
        <v>46</v>
      </c>
      <c r="AE28" s="104" t="s">
        <v>489</v>
      </c>
      <c r="AF28" s="104" t="s">
        <v>490</v>
      </c>
      <c r="AG28" s="104" t="s">
        <v>407</v>
      </c>
      <c r="AH28" s="104" t="s">
        <v>393</v>
      </c>
      <c r="AI28" s="104" t="s">
        <v>491</v>
      </c>
      <c r="AJ28" s="147"/>
      <c r="AK28" s="147"/>
      <c r="AL28" s="13"/>
      <c r="AM28" s="4"/>
      <c r="AN28" s="65"/>
      <c r="AO28" s="159"/>
      <c r="AP28" s="4"/>
      <c r="AQ28" s="65"/>
      <c r="AR28" s="148"/>
      <c r="AS28" s="148"/>
      <c r="AT28" s="65"/>
      <c r="AU28" s="160"/>
      <c r="AV28" s="161"/>
      <c r="AW28" s="10"/>
      <c r="AX28" s="291"/>
      <c r="AY28" s="260"/>
    </row>
    <row r="29" spans="1:64" x14ac:dyDescent="0.25">
      <c r="A29" s="171">
        <v>1</v>
      </c>
      <c r="B29" s="155"/>
      <c r="C29" s="131"/>
      <c r="D29" s="133"/>
      <c r="E29" s="134">
        <f>SUM(E23:E27)</f>
        <v>533120000</v>
      </c>
      <c r="F29" s="135"/>
      <c r="G29" s="131"/>
      <c r="H29" s="131"/>
      <c r="I29" s="136"/>
      <c r="J29" s="137"/>
      <c r="K29" s="136"/>
      <c r="L29" s="136"/>
      <c r="M29" s="136">
        <v>0</v>
      </c>
      <c r="N29" s="136">
        <v>41</v>
      </c>
      <c r="O29" s="138"/>
      <c r="P29" s="138">
        <v>28209465978</v>
      </c>
      <c r="Q29" s="138"/>
      <c r="R29" s="138"/>
      <c r="S29" s="138"/>
      <c r="T29" s="138"/>
      <c r="U29" s="138"/>
      <c r="V29" s="138"/>
      <c r="W29" s="138"/>
      <c r="X29" s="138"/>
      <c r="Y29" s="138"/>
      <c r="Z29" s="138"/>
      <c r="AA29" s="138"/>
      <c r="AB29" s="138"/>
      <c r="AC29" s="138"/>
      <c r="AD29" s="138"/>
      <c r="AE29" s="138"/>
      <c r="AF29" s="138"/>
      <c r="AG29" s="138"/>
      <c r="AH29" s="138"/>
      <c r="AI29" s="138"/>
      <c r="AJ29" s="139"/>
      <c r="AK29" s="140">
        <v>39630.868213785528</v>
      </c>
      <c r="AL29" s="138">
        <v>32818956061.727215</v>
      </c>
      <c r="AM29" s="137"/>
      <c r="AN29" s="136"/>
      <c r="AO29" s="136"/>
      <c r="AP29" s="136">
        <v>0</v>
      </c>
      <c r="AQ29" s="136"/>
      <c r="AR29" s="136"/>
      <c r="AS29" s="136"/>
      <c r="AT29" s="136"/>
      <c r="AU29" s="136"/>
      <c r="AV29" s="141"/>
      <c r="AW29" s="10"/>
      <c r="AX29" s="138"/>
      <c r="AY29" s="172"/>
    </row>
    <row r="30" spans="1:64" ht="94.5" customHeight="1" x14ac:dyDescent="0.25">
      <c r="A30" s="169" t="s">
        <v>1</v>
      </c>
      <c r="B30" s="127" t="s">
        <v>2</v>
      </c>
      <c r="C30" s="127" t="s">
        <v>3</v>
      </c>
      <c r="D30" s="127" t="s">
        <v>4</v>
      </c>
      <c r="E30" s="127" t="s">
        <v>44</v>
      </c>
      <c r="F30" s="127" t="s">
        <v>5</v>
      </c>
      <c r="G30" s="127" t="s">
        <v>385</v>
      </c>
      <c r="H30" s="128" t="s">
        <v>6</v>
      </c>
      <c r="I30" s="127" t="s">
        <v>7</v>
      </c>
      <c r="J30" s="127" t="s">
        <v>8</v>
      </c>
      <c r="K30" s="127" t="s">
        <v>9</v>
      </c>
      <c r="L30" s="127" t="s">
        <v>26</v>
      </c>
      <c r="M30" s="128" t="s">
        <v>27</v>
      </c>
      <c r="N30" s="127" t="s">
        <v>10</v>
      </c>
      <c r="O30" s="127" t="s">
        <v>43</v>
      </c>
      <c r="P30" s="127" t="s">
        <v>173</v>
      </c>
      <c r="Q30" s="127" t="s">
        <v>179</v>
      </c>
      <c r="R30" s="127" t="s">
        <v>175</v>
      </c>
      <c r="S30" s="127" t="s">
        <v>471</v>
      </c>
      <c r="T30" s="127" t="s">
        <v>472</v>
      </c>
      <c r="U30" s="127" t="s">
        <v>42</v>
      </c>
      <c r="V30" s="127" t="s">
        <v>176</v>
      </c>
      <c r="W30" s="127" t="s">
        <v>76</v>
      </c>
      <c r="X30" s="127" t="s">
        <v>412</v>
      </c>
      <c r="Y30" s="127"/>
      <c r="Z30" s="127" t="s">
        <v>80</v>
      </c>
      <c r="AA30" s="262" t="s">
        <v>474</v>
      </c>
      <c r="AB30" s="262"/>
      <c r="AC30" s="262"/>
      <c r="AD30" s="127" t="s">
        <v>388</v>
      </c>
      <c r="AE30" s="127" t="s">
        <v>73</v>
      </c>
      <c r="AF30" s="127" t="s">
        <v>78</v>
      </c>
      <c r="AG30" s="127" t="s">
        <v>74</v>
      </c>
      <c r="AH30" s="127" t="s">
        <v>75</v>
      </c>
      <c r="AI30" s="127" t="s">
        <v>408</v>
      </c>
      <c r="AJ30" s="129" t="s">
        <v>11</v>
      </c>
      <c r="AK30" s="127" t="s">
        <v>12</v>
      </c>
      <c r="AL30" s="127" t="s">
        <v>13</v>
      </c>
      <c r="AM30" s="130" t="s">
        <v>14</v>
      </c>
      <c r="AN30" s="127" t="s">
        <v>15</v>
      </c>
      <c r="AO30" s="127" t="s">
        <v>16</v>
      </c>
      <c r="AP30" s="127" t="s">
        <v>17</v>
      </c>
      <c r="AQ30" s="129" t="s">
        <v>18</v>
      </c>
      <c r="AR30" s="129" t="s">
        <v>19</v>
      </c>
      <c r="AS30" s="129" t="s">
        <v>20</v>
      </c>
      <c r="AT30" s="129" t="s">
        <v>21</v>
      </c>
      <c r="AU30" s="127" t="s">
        <v>22</v>
      </c>
      <c r="AV30" s="127" t="s">
        <v>23</v>
      </c>
      <c r="AW30" s="10"/>
      <c r="AX30" s="67" t="s">
        <v>389</v>
      </c>
      <c r="AY30" s="170" t="s">
        <v>390</v>
      </c>
    </row>
    <row r="31" spans="1:64" s="14" customFormat="1" ht="360.75" customHeight="1" x14ac:dyDescent="0.25">
      <c r="A31" s="275">
        <v>6</v>
      </c>
      <c r="B31" s="276" t="s">
        <v>69</v>
      </c>
      <c r="C31" s="276"/>
      <c r="D31" s="277">
        <v>1</v>
      </c>
      <c r="E31" s="278">
        <v>533120000</v>
      </c>
      <c r="F31" s="112" t="s">
        <v>492</v>
      </c>
      <c r="G31" s="112" t="s">
        <v>414</v>
      </c>
      <c r="H31" s="110" t="s">
        <v>69</v>
      </c>
      <c r="I31" s="15" t="s">
        <v>24</v>
      </c>
      <c r="J31" s="24">
        <v>1</v>
      </c>
      <c r="K31" s="162">
        <v>42215</v>
      </c>
      <c r="L31" s="162">
        <v>42594</v>
      </c>
      <c r="M31" s="154"/>
      <c r="N31" s="15" t="s">
        <v>349</v>
      </c>
      <c r="O31" s="21">
        <v>307525124.95999998</v>
      </c>
      <c r="P31" s="21">
        <f>O31*J31</f>
        <v>307525124.95999998</v>
      </c>
      <c r="Q31" s="21">
        <f>+P31</f>
        <v>307525124.95999998</v>
      </c>
      <c r="R31" s="145"/>
      <c r="S31" s="145">
        <f>E31/877803</f>
        <v>607.33444747853446</v>
      </c>
      <c r="T31" s="145">
        <f>Q31/689455</f>
        <v>446.0408945616465</v>
      </c>
      <c r="U31" s="25">
        <v>1816.63</v>
      </c>
      <c r="V31" s="145">
        <f>+U31*0.99</f>
        <v>1798.4637</v>
      </c>
      <c r="W31" s="145">
        <f>+V31</f>
        <v>1798.4637</v>
      </c>
      <c r="X31" s="115" t="s">
        <v>493</v>
      </c>
      <c r="Y31" s="279" t="b">
        <f>V31+V32&gt;=2694</f>
        <v>1</v>
      </c>
      <c r="Z31" s="279" t="s">
        <v>415</v>
      </c>
      <c r="AA31" s="279">
        <f>T31+T33</f>
        <v>778.7908945616465</v>
      </c>
      <c r="AB31" s="279">
        <f>W31+W33</f>
        <v>2973.6737000000003</v>
      </c>
      <c r="AC31" s="288" t="s">
        <v>494</v>
      </c>
      <c r="AD31" s="273" t="s">
        <v>46</v>
      </c>
      <c r="AE31" s="111" t="s">
        <v>352</v>
      </c>
      <c r="AF31" s="111" t="s">
        <v>352</v>
      </c>
      <c r="AG31" s="111" t="s">
        <v>353</v>
      </c>
      <c r="AH31" s="111" t="s">
        <v>353</v>
      </c>
      <c r="AI31" s="273" t="s">
        <v>46</v>
      </c>
      <c r="AJ31" s="149"/>
      <c r="AK31" s="149"/>
      <c r="AL31" s="150"/>
      <c r="AM31" s="151"/>
      <c r="AN31" s="66"/>
      <c r="AO31" s="282"/>
      <c r="AP31" s="283"/>
      <c r="AQ31" s="66"/>
      <c r="AR31" s="152"/>
      <c r="AS31" s="152"/>
      <c r="AT31" s="66"/>
      <c r="AU31" s="284"/>
      <c r="AV31" s="285"/>
      <c r="AW31" s="153"/>
      <c r="AX31" s="163" t="s">
        <v>495</v>
      </c>
      <c r="AY31" s="260" t="s">
        <v>394</v>
      </c>
      <c r="AZ31" s="16"/>
      <c r="BA31" s="286"/>
      <c r="BB31" s="287"/>
      <c r="BC31" s="287"/>
      <c r="BD31" s="287"/>
      <c r="BE31" s="287"/>
      <c r="BF31" s="287"/>
      <c r="BG31" s="287"/>
      <c r="BH31" s="287"/>
      <c r="BI31" s="16"/>
    </row>
    <row r="32" spans="1:64" s="14" customFormat="1" ht="78.75" customHeight="1" x14ac:dyDescent="0.25">
      <c r="A32" s="275"/>
      <c r="B32" s="276"/>
      <c r="C32" s="276"/>
      <c r="D32" s="277"/>
      <c r="E32" s="278"/>
      <c r="F32" s="112" t="s">
        <v>496</v>
      </c>
      <c r="G32" s="112" t="s">
        <v>416</v>
      </c>
      <c r="H32" s="110" t="s">
        <v>497</v>
      </c>
      <c r="I32" s="15" t="s">
        <v>24</v>
      </c>
      <c r="J32" s="24">
        <v>1</v>
      </c>
      <c r="K32" s="162">
        <v>42282</v>
      </c>
      <c r="L32" s="162">
        <v>43145</v>
      </c>
      <c r="M32" s="154"/>
      <c r="N32" s="15" t="s">
        <v>350</v>
      </c>
      <c r="O32" s="21">
        <v>139014400</v>
      </c>
      <c r="P32" s="21">
        <f>+O32</f>
        <v>139014400</v>
      </c>
      <c r="Q32" s="21" t="s">
        <v>498</v>
      </c>
      <c r="R32" s="145"/>
      <c r="S32" s="145"/>
      <c r="T32" s="145"/>
      <c r="U32" s="145" t="s">
        <v>499</v>
      </c>
      <c r="V32" s="25">
        <v>939.2</v>
      </c>
      <c r="W32" s="25" t="s">
        <v>87</v>
      </c>
      <c r="X32" s="111" t="s">
        <v>46</v>
      </c>
      <c r="Y32" s="279"/>
      <c r="Z32" s="279"/>
      <c r="AA32" s="279"/>
      <c r="AB32" s="279"/>
      <c r="AC32" s="288"/>
      <c r="AD32" s="273"/>
      <c r="AE32" s="111" t="s">
        <v>354</v>
      </c>
      <c r="AF32" s="111" t="s">
        <v>354</v>
      </c>
      <c r="AG32" s="111" t="s">
        <v>355</v>
      </c>
      <c r="AH32" s="111" t="s">
        <v>355</v>
      </c>
      <c r="AI32" s="273"/>
      <c r="AJ32" s="149"/>
      <c r="AK32" s="149"/>
      <c r="AL32" s="150"/>
      <c r="AM32" s="151"/>
      <c r="AN32" s="66"/>
      <c r="AO32" s="282"/>
      <c r="AP32" s="283"/>
      <c r="AQ32" s="66"/>
      <c r="AR32" s="152"/>
      <c r="AS32" s="152"/>
      <c r="AT32" s="66"/>
      <c r="AU32" s="284"/>
      <c r="AV32" s="285"/>
      <c r="AW32" s="153"/>
      <c r="AX32" s="163" t="s">
        <v>500</v>
      </c>
      <c r="AY32" s="260"/>
      <c r="AZ32" s="16"/>
      <c r="BA32" s="287"/>
      <c r="BB32" s="287"/>
      <c r="BC32" s="287"/>
      <c r="BD32" s="287"/>
      <c r="BE32" s="287"/>
      <c r="BF32" s="287"/>
      <c r="BG32" s="287"/>
      <c r="BH32" s="287"/>
      <c r="BI32" s="16"/>
    </row>
    <row r="33" spans="1:61" s="14" customFormat="1" ht="97.5" customHeight="1" x14ac:dyDescent="0.25">
      <c r="A33" s="275"/>
      <c r="B33" s="276"/>
      <c r="C33" s="276"/>
      <c r="D33" s="277"/>
      <c r="E33" s="278"/>
      <c r="F33" s="112" t="s">
        <v>501</v>
      </c>
      <c r="G33" s="112" t="s">
        <v>417</v>
      </c>
      <c r="H33" s="110" t="s">
        <v>502</v>
      </c>
      <c r="I33" s="15" t="s">
        <v>24</v>
      </c>
      <c r="J33" s="24">
        <v>1</v>
      </c>
      <c r="K33" s="162">
        <v>37673</v>
      </c>
      <c r="L33" s="162">
        <v>37852</v>
      </c>
      <c r="M33" s="154"/>
      <c r="N33" s="15" t="s">
        <v>351</v>
      </c>
      <c r="O33" s="21">
        <v>110473000</v>
      </c>
      <c r="P33" s="21">
        <f>O33*J33</f>
        <v>110473000</v>
      </c>
      <c r="Q33" s="21">
        <f>P33</f>
        <v>110473000</v>
      </c>
      <c r="R33" s="145"/>
      <c r="S33" s="145"/>
      <c r="T33" s="145">
        <f>Q33/332000</f>
        <v>332.75</v>
      </c>
      <c r="U33" s="25" t="s">
        <v>503</v>
      </c>
      <c r="V33" s="25">
        <v>1175.21</v>
      </c>
      <c r="W33" s="25">
        <f>V33</f>
        <v>1175.21</v>
      </c>
      <c r="X33" s="111" t="s">
        <v>46</v>
      </c>
      <c r="Y33" s="279"/>
      <c r="Z33" s="279"/>
      <c r="AA33" s="279"/>
      <c r="AB33" s="279"/>
      <c r="AC33" s="288"/>
      <c r="AD33" s="273"/>
      <c r="AE33" s="111" t="s">
        <v>356</v>
      </c>
      <c r="AF33" s="111" t="s">
        <v>356</v>
      </c>
      <c r="AG33" s="111" t="s">
        <v>356</v>
      </c>
      <c r="AH33" s="111" t="s">
        <v>356</v>
      </c>
      <c r="AI33" s="273"/>
      <c r="AJ33" s="149"/>
      <c r="AK33" s="149"/>
      <c r="AL33" s="150"/>
      <c r="AM33" s="151"/>
      <c r="AN33" s="66"/>
      <c r="AO33" s="164"/>
      <c r="AP33" s="151"/>
      <c r="AQ33" s="66"/>
      <c r="AR33" s="152"/>
      <c r="AS33" s="152"/>
      <c r="AT33" s="66"/>
      <c r="AU33" s="165"/>
      <c r="AV33" s="166"/>
      <c r="AW33" s="153"/>
      <c r="AX33" s="163"/>
      <c r="AY33" s="260"/>
      <c r="AZ33" s="16"/>
      <c r="BA33" s="287"/>
      <c r="BB33" s="287"/>
      <c r="BC33" s="287"/>
      <c r="BD33" s="287"/>
      <c r="BE33" s="287"/>
      <c r="BF33" s="287"/>
      <c r="BG33" s="287"/>
      <c r="BH33" s="287"/>
      <c r="BI33" s="16"/>
    </row>
    <row r="34" spans="1:61" x14ac:dyDescent="0.25">
      <c r="A34" s="171">
        <v>1</v>
      </c>
      <c r="B34" s="155"/>
      <c r="C34" s="131"/>
      <c r="D34" s="133"/>
      <c r="E34" s="134">
        <f>SUM(E31:E32)</f>
        <v>533120000</v>
      </c>
      <c r="F34" s="135"/>
      <c r="G34" s="131"/>
      <c r="H34" s="131"/>
      <c r="I34" s="136"/>
      <c r="J34" s="137"/>
      <c r="K34" s="136"/>
      <c r="L34" s="136"/>
      <c r="M34" s="136">
        <v>0</v>
      </c>
      <c r="N34" s="136">
        <v>41</v>
      </c>
      <c r="O34" s="138"/>
      <c r="P34" s="138">
        <v>28209465978</v>
      </c>
      <c r="Q34" s="138"/>
      <c r="R34" s="138"/>
      <c r="S34" s="138"/>
      <c r="T34" s="138"/>
      <c r="U34" s="138"/>
      <c r="V34" s="138"/>
      <c r="W34" s="138"/>
      <c r="X34" s="138"/>
      <c r="Y34" s="138"/>
      <c r="Z34" s="138"/>
      <c r="AA34" s="138"/>
      <c r="AB34" s="138"/>
      <c r="AC34" s="138"/>
      <c r="AD34" s="138"/>
      <c r="AE34" s="138"/>
      <c r="AF34" s="138"/>
      <c r="AG34" s="138"/>
      <c r="AH34" s="138"/>
      <c r="AI34" s="138"/>
      <c r="AJ34" s="139"/>
      <c r="AK34" s="140">
        <v>39630.868213785528</v>
      </c>
      <c r="AL34" s="138">
        <v>32818956061.727215</v>
      </c>
      <c r="AM34" s="137"/>
      <c r="AN34" s="136"/>
      <c r="AO34" s="136"/>
      <c r="AP34" s="136">
        <v>0</v>
      </c>
      <c r="AQ34" s="136"/>
      <c r="AR34" s="136"/>
      <c r="AS34" s="136"/>
      <c r="AT34" s="136"/>
      <c r="AU34" s="136"/>
      <c r="AV34" s="141"/>
      <c r="AW34" s="10"/>
      <c r="AX34" s="138"/>
      <c r="AY34" s="172"/>
      <c r="AZ34" s="16"/>
      <c r="BA34" s="16"/>
      <c r="BB34" s="16"/>
      <c r="BC34" s="16"/>
      <c r="BD34" s="16"/>
      <c r="BE34" s="16"/>
      <c r="BF34" s="16"/>
      <c r="BG34" s="16"/>
      <c r="BH34" s="16"/>
      <c r="BI34" s="16"/>
    </row>
    <row r="35" spans="1:61" ht="102.75" customHeight="1" x14ac:dyDescent="0.25">
      <c r="A35" s="169" t="s">
        <v>1</v>
      </c>
      <c r="B35" s="127" t="s">
        <v>2</v>
      </c>
      <c r="C35" s="127" t="s">
        <v>3</v>
      </c>
      <c r="D35" s="127" t="s">
        <v>4</v>
      </c>
      <c r="E35" s="127" t="s">
        <v>44</v>
      </c>
      <c r="F35" s="127" t="s">
        <v>5</v>
      </c>
      <c r="G35" s="127" t="s">
        <v>385</v>
      </c>
      <c r="H35" s="127" t="s">
        <v>6</v>
      </c>
      <c r="I35" s="127" t="s">
        <v>7</v>
      </c>
      <c r="J35" s="127" t="s">
        <v>8</v>
      </c>
      <c r="K35" s="127" t="s">
        <v>9</v>
      </c>
      <c r="L35" s="127" t="s">
        <v>26</v>
      </c>
      <c r="M35" s="128" t="s">
        <v>27</v>
      </c>
      <c r="N35" s="127" t="s">
        <v>10</v>
      </c>
      <c r="O35" s="127" t="s">
        <v>43</v>
      </c>
      <c r="P35" s="127" t="s">
        <v>173</v>
      </c>
      <c r="Q35" s="127" t="s">
        <v>180</v>
      </c>
      <c r="R35" s="127" t="s">
        <v>175</v>
      </c>
      <c r="S35" s="127" t="s">
        <v>471</v>
      </c>
      <c r="T35" s="127" t="s">
        <v>472</v>
      </c>
      <c r="U35" s="127" t="s">
        <v>42</v>
      </c>
      <c r="V35" s="127" t="s">
        <v>176</v>
      </c>
      <c r="W35" s="127" t="s">
        <v>153</v>
      </c>
      <c r="X35" s="127" t="s">
        <v>412</v>
      </c>
      <c r="Y35" s="127"/>
      <c r="Z35" s="127" t="s">
        <v>80</v>
      </c>
      <c r="AA35" s="262" t="s">
        <v>474</v>
      </c>
      <c r="AB35" s="262"/>
      <c r="AC35" s="262"/>
      <c r="AD35" s="127" t="s">
        <v>388</v>
      </c>
      <c r="AE35" s="127" t="s">
        <v>73</v>
      </c>
      <c r="AF35" s="127" t="s">
        <v>78</v>
      </c>
      <c r="AG35" s="127" t="s">
        <v>74</v>
      </c>
      <c r="AH35" s="127" t="s">
        <v>75</v>
      </c>
      <c r="AI35" s="127" t="s">
        <v>408</v>
      </c>
      <c r="AJ35" s="129" t="s">
        <v>11</v>
      </c>
      <c r="AK35" s="127" t="s">
        <v>12</v>
      </c>
      <c r="AL35" s="127" t="s">
        <v>13</v>
      </c>
      <c r="AM35" s="130" t="s">
        <v>14</v>
      </c>
      <c r="AN35" s="127" t="s">
        <v>15</v>
      </c>
      <c r="AO35" s="127" t="s">
        <v>16</v>
      </c>
      <c r="AP35" s="127" t="s">
        <v>17</v>
      </c>
      <c r="AQ35" s="129" t="s">
        <v>18</v>
      </c>
      <c r="AR35" s="129" t="s">
        <v>19</v>
      </c>
      <c r="AS35" s="129" t="s">
        <v>20</v>
      </c>
      <c r="AT35" s="129" t="s">
        <v>21</v>
      </c>
      <c r="AU35" s="127" t="s">
        <v>22</v>
      </c>
      <c r="AV35" s="127" t="s">
        <v>23</v>
      </c>
      <c r="AW35" s="10"/>
      <c r="AX35" s="67" t="s">
        <v>389</v>
      </c>
      <c r="AY35" s="170" t="s">
        <v>390</v>
      </c>
    </row>
    <row r="36" spans="1:61" ht="118.5" customHeight="1" x14ac:dyDescent="0.25">
      <c r="A36" s="263">
        <v>7</v>
      </c>
      <c r="B36" s="265" t="s">
        <v>70</v>
      </c>
      <c r="C36" s="3" t="s">
        <v>151</v>
      </c>
      <c r="D36" s="70">
        <v>0.5</v>
      </c>
      <c r="E36" s="267">
        <v>533120000</v>
      </c>
      <c r="F36" s="105" t="s">
        <v>418</v>
      </c>
      <c r="G36" s="3" t="s">
        <v>421</v>
      </c>
      <c r="H36" s="6" t="s">
        <v>151</v>
      </c>
      <c r="I36" s="4" t="s">
        <v>24</v>
      </c>
      <c r="J36" s="5">
        <v>0.9</v>
      </c>
      <c r="K36" s="71">
        <v>43087</v>
      </c>
      <c r="L36" s="71">
        <v>43710</v>
      </c>
      <c r="M36" s="65" t="s">
        <v>46</v>
      </c>
      <c r="N36" s="4">
        <v>11</v>
      </c>
      <c r="O36" s="13">
        <v>1147952143</v>
      </c>
      <c r="P36" s="13">
        <f>O36*J36</f>
        <v>1033156928.7</v>
      </c>
      <c r="Q36" s="13">
        <f>P36*D36</f>
        <v>516578464.35000002</v>
      </c>
      <c r="R36" s="72">
        <f>Q36/737717</f>
        <v>700.23933886571683</v>
      </c>
      <c r="S36" s="72">
        <f>E36/877803</f>
        <v>607.33444747853446</v>
      </c>
      <c r="T36" s="72">
        <f>Q36/828116</f>
        <v>623.799642018751</v>
      </c>
      <c r="U36" s="73">
        <v>8952.27</v>
      </c>
      <c r="V36" s="72">
        <f>U36*J36</f>
        <v>8057.0430000000006</v>
      </c>
      <c r="W36" s="72">
        <f>V36*D36</f>
        <v>4028.5215000000003</v>
      </c>
      <c r="X36" s="36" t="s">
        <v>422</v>
      </c>
      <c r="Y36" s="269" t="b">
        <f>V36+V37&gt;=2694</f>
        <v>1</v>
      </c>
      <c r="Z36" s="269" t="str">
        <f>SUBSTITUTE(SUBSTITUTE(Y36,"VERDADERO","CUMPLE"),"FALSO","NO CUMPLE")</f>
        <v>CUMPLE</v>
      </c>
      <c r="AA36" s="269">
        <f>T36+T37</f>
        <v>958.61449670094521</v>
      </c>
      <c r="AB36" s="271">
        <f>W36+W37</f>
        <v>5532.6465000000007</v>
      </c>
      <c r="AC36" s="273" t="s">
        <v>46</v>
      </c>
      <c r="AD36" s="280" t="s">
        <v>46</v>
      </c>
      <c r="AE36" s="104" t="s">
        <v>154</v>
      </c>
      <c r="AF36" s="104" t="s">
        <v>154</v>
      </c>
      <c r="AG36" s="104" t="s">
        <v>527</v>
      </c>
      <c r="AH36" s="104" t="s">
        <v>155</v>
      </c>
      <c r="AI36" s="280" t="s">
        <v>46</v>
      </c>
      <c r="AJ36" s="147"/>
      <c r="AK36" s="147"/>
      <c r="AL36" s="13"/>
      <c r="AM36" s="4"/>
      <c r="AN36" s="65"/>
      <c r="AO36" s="250"/>
      <c r="AP36" s="252"/>
      <c r="AQ36" s="65"/>
      <c r="AR36" s="148"/>
      <c r="AS36" s="148"/>
      <c r="AT36" s="65"/>
      <c r="AU36" s="254"/>
      <c r="AV36" s="256"/>
      <c r="AW36" s="10"/>
      <c r="AX36" s="258"/>
      <c r="AY36" s="260" t="s">
        <v>394</v>
      </c>
    </row>
    <row r="37" spans="1:61" ht="112.5" customHeight="1" thickBot="1" x14ac:dyDescent="0.3">
      <c r="A37" s="264"/>
      <c r="B37" s="266"/>
      <c r="C37" s="174" t="s">
        <v>152</v>
      </c>
      <c r="D37" s="175">
        <v>0.5</v>
      </c>
      <c r="E37" s="268"/>
      <c r="F37" s="176" t="s">
        <v>420</v>
      </c>
      <c r="G37" s="174" t="s">
        <v>419</v>
      </c>
      <c r="H37" s="177" t="s">
        <v>152</v>
      </c>
      <c r="I37" s="178" t="s">
        <v>24</v>
      </c>
      <c r="J37" s="179">
        <v>0.35</v>
      </c>
      <c r="K37" s="180">
        <v>43066</v>
      </c>
      <c r="L37" s="180">
        <v>43717</v>
      </c>
      <c r="M37" s="181" t="s">
        <v>46</v>
      </c>
      <c r="N37" s="178">
        <v>20</v>
      </c>
      <c r="O37" s="182">
        <v>1584374504</v>
      </c>
      <c r="P37" s="182">
        <f>O37*J37</f>
        <v>554531076.39999998</v>
      </c>
      <c r="Q37" s="182">
        <f>P37*D37</f>
        <v>277265538.19999999</v>
      </c>
      <c r="R37" s="183">
        <f>Q37/828116</f>
        <v>334.81485468219427</v>
      </c>
      <c r="S37" s="183"/>
      <c r="T37" s="183">
        <f>Q37/828116</f>
        <v>334.81485468219427</v>
      </c>
      <c r="U37" s="183">
        <v>8595</v>
      </c>
      <c r="V37" s="183">
        <f>U37*J37</f>
        <v>3008.25</v>
      </c>
      <c r="W37" s="183">
        <f>V37*D37</f>
        <v>1504.125</v>
      </c>
      <c r="X37" s="42" t="s">
        <v>423</v>
      </c>
      <c r="Y37" s="270"/>
      <c r="Z37" s="270"/>
      <c r="AA37" s="270"/>
      <c r="AB37" s="272"/>
      <c r="AC37" s="274"/>
      <c r="AD37" s="281"/>
      <c r="AE37" s="184" t="s">
        <v>156</v>
      </c>
      <c r="AF37" s="184" t="s">
        <v>156</v>
      </c>
      <c r="AG37" s="184" t="s">
        <v>527</v>
      </c>
      <c r="AH37" s="184" t="s">
        <v>527</v>
      </c>
      <c r="AI37" s="281"/>
      <c r="AJ37" s="185"/>
      <c r="AK37" s="185"/>
      <c r="AL37" s="182"/>
      <c r="AM37" s="178"/>
      <c r="AN37" s="181"/>
      <c r="AO37" s="251"/>
      <c r="AP37" s="253"/>
      <c r="AQ37" s="181"/>
      <c r="AR37" s="186"/>
      <c r="AS37" s="186"/>
      <c r="AT37" s="181"/>
      <c r="AU37" s="255"/>
      <c r="AV37" s="257"/>
      <c r="AW37" s="187"/>
      <c r="AX37" s="259"/>
      <c r="AY37" s="261"/>
    </row>
    <row r="43" spans="1:61" x14ac:dyDescent="0.25">
      <c r="B43" t="s">
        <v>449</v>
      </c>
    </row>
    <row r="46" spans="1:61" x14ac:dyDescent="0.25">
      <c r="B46" s="31" t="s">
        <v>450</v>
      </c>
      <c r="E46" s="31" t="s">
        <v>454</v>
      </c>
    </row>
    <row r="47" spans="1:61" x14ac:dyDescent="0.25">
      <c r="B47" t="s">
        <v>451</v>
      </c>
      <c r="E47" t="s">
        <v>453</v>
      </c>
    </row>
    <row r="51" spans="2:5" x14ac:dyDescent="0.25">
      <c r="B51" s="31" t="s">
        <v>452</v>
      </c>
      <c r="E51" s="31" t="s">
        <v>455</v>
      </c>
    </row>
    <row r="52" spans="2:5" x14ac:dyDescent="0.25">
      <c r="B52" t="s">
        <v>453</v>
      </c>
      <c r="E52" t="s">
        <v>451</v>
      </c>
    </row>
  </sheetData>
  <mergeCells count="153">
    <mergeCell ref="AA19:AA20"/>
    <mergeCell ref="A15:A16"/>
    <mergeCell ref="Z15:Z16"/>
    <mergeCell ref="S23:S27"/>
    <mergeCell ref="T23:T27"/>
    <mergeCell ref="U23:U27"/>
    <mergeCell ref="V23:V27"/>
    <mergeCell ref="B15:B16"/>
    <mergeCell ref="E15:E16"/>
    <mergeCell ref="E19:E20"/>
    <mergeCell ref="I23:I27"/>
    <mergeCell ref="J23:J27"/>
    <mergeCell ref="K23:K27"/>
    <mergeCell ref="X23:X27"/>
    <mergeCell ref="Y15:Y16"/>
    <mergeCell ref="AA15:AA16"/>
    <mergeCell ref="Y23:Y27"/>
    <mergeCell ref="Z19:Z20"/>
    <mergeCell ref="L23:L27"/>
    <mergeCell ref="M23:M27"/>
    <mergeCell ref="N23:N27"/>
    <mergeCell ref="O23:O27"/>
    <mergeCell ref="P23:P27"/>
    <mergeCell ref="W23:W27"/>
    <mergeCell ref="C23:C27"/>
    <mergeCell ref="F23:F27"/>
    <mergeCell ref="G23:G27"/>
    <mergeCell ref="H23:H27"/>
    <mergeCell ref="A23:A27"/>
    <mergeCell ref="B23:B27"/>
    <mergeCell ref="E23:E27"/>
    <mergeCell ref="A19:A20"/>
    <mergeCell ref="B19:B20"/>
    <mergeCell ref="AA18:AC18"/>
    <mergeCell ref="AC19:AC20"/>
    <mergeCell ref="AD19:AD20"/>
    <mergeCell ref="A1:AY1"/>
    <mergeCell ref="A2:AY2"/>
    <mergeCell ref="AE3:AH3"/>
    <mergeCell ref="AA4:AC4"/>
    <mergeCell ref="AA5:AC5"/>
    <mergeCell ref="AB6:AB7"/>
    <mergeCell ref="AC6:AC7"/>
    <mergeCell ref="AI6:AI7"/>
    <mergeCell ref="AO6:AO7"/>
    <mergeCell ref="AP6:AP7"/>
    <mergeCell ref="AU6:AU7"/>
    <mergeCell ref="AX6:AX7"/>
    <mergeCell ref="AY6:AY7"/>
    <mergeCell ref="C6:C7"/>
    <mergeCell ref="AV6:AV7"/>
    <mergeCell ref="D6:D7"/>
    <mergeCell ref="Z6:Z7"/>
    <mergeCell ref="AA6:AA7"/>
    <mergeCell ref="A6:A7"/>
    <mergeCell ref="A10:A12"/>
    <mergeCell ref="B10:B12"/>
    <mergeCell ref="B6:B7"/>
    <mergeCell ref="E6:E7"/>
    <mergeCell ref="Y6:Y7"/>
    <mergeCell ref="AD10:AD12"/>
    <mergeCell ref="AI10:AI12"/>
    <mergeCell ref="AO10:AO12"/>
    <mergeCell ref="AP10:AP12"/>
    <mergeCell ref="AU10:AU12"/>
    <mergeCell ref="AX10:AX12"/>
    <mergeCell ref="E10:E12"/>
    <mergeCell ref="C10:C12"/>
    <mergeCell ref="D10:D12"/>
    <mergeCell ref="AA8:AC8"/>
    <mergeCell ref="AA9:AC9"/>
    <mergeCell ref="Y10:Y12"/>
    <mergeCell ref="Z10:Z12"/>
    <mergeCell ref="AB10:AB11"/>
    <mergeCell ref="AC10:AC11"/>
    <mergeCell ref="AY10:AY12"/>
    <mergeCell ref="AA14:AC14"/>
    <mergeCell ref="AB15:AB16"/>
    <mergeCell ref="AC15:AC16"/>
    <mergeCell ref="AI15:AI16"/>
    <mergeCell ref="AO15:AO16"/>
    <mergeCell ref="AP15:AP16"/>
    <mergeCell ref="AU15:AU16"/>
    <mergeCell ref="AX15:AX16"/>
    <mergeCell ref="AY15:AY16"/>
    <mergeCell ref="AA10:AA11"/>
    <mergeCell ref="AV10:AV12"/>
    <mergeCell ref="AV15:AV16"/>
    <mergeCell ref="AX19:AX20"/>
    <mergeCell ref="AY19:AY20"/>
    <mergeCell ref="AV19:AV20"/>
    <mergeCell ref="AA22:AC22"/>
    <mergeCell ref="D23:D28"/>
    <mergeCell ref="Z23:Z28"/>
    <mergeCell ref="AA23:AA28"/>
    <mergeCell ref="AB23:AB28"/>
    <mergeCell ref="AC23:AC28"/>
    <mergeCell ref="AH23:AH27"/>
    <mergeCell ref="AI23:AI27"/>
    <mergeCell ref="AO23:AO27"/>
    <mergeCell ref="AP23:AP27"/>
    <mergeCell ref="AU23:AU27"/>
    <mergeCell ref="AX23:AX28"/>
    <mergeCell ref="AY23:AY28"/>
    <mergeCell ref="Y19:Y20"/>
    <mergeCell ref="AB19:AB20"/>
    <mergeCell ref="AI19:AI20"/>
    <mergeCell ref="AO19:AO20"/>
    <mergeCell ref="AP19:AP20"/>
    <mergeCell ref="AU19:AU20"/>
    <mergeCell ref="Q23:Q27"/>
    <mergeCell ref="R23:R27"/>
    <mergeCell ref="AO31:AO32"/>
    <mergeCell ref="AP31:AP32"/>
    <mergeCell ref="AU31:AU32"/>
    <mergeCell ref="AV31:AV32"/>
    <mergeCell ref="AY31:AY33"/>
    <mergeCell ref="AV23:AV27"/>
    <mergeCell ref="BA31:BH33"/>
    <mergeCell ref="AA30:AC30"/>
    <mergeCell ref="AA31:AA33"/>
    <mergeCell ref="AB31:AB33"/>
    <mergeCell ref="AC31:AC33"/>
    <mergeCell ref="AF23:AF27"/>
    <mergeCell ref="AG23:AG27"/>
    <mergeCell ref="AD23:AD27"/>
    <mergeCell ref="AE23:AE27"/>
    <mergeCell ref="AD31:AD33"/>
    <mergeCell ref="A31:A33"/>
    <mergeCell ref="B31:B33"/>
    <mergeCell ref="C31:C33"/>
    <mergeCell ref="D31:D33"/>
    <mergeCell ref="E31:E33"/>
    <mergeCell ref="Y31:Y33"/>
    <mergeCell ref="Z31:Z33"/>
    <mergeCell ref="AD36:AD37"/>
    <mergeCell ref="AI36:AI37"/>
    <mergeCell ref="AI31:AI33"/>
    <mergeCell ref="AO36:AO37"/>
    <mergeCell ref="AP36:AP37"/>
    <mergeCell ref="AU36:AU37"/>
    <mergeCell ref="AV36:AV37"/>
    <mergeCell ref="AX36:AX37"/>
    <mergeCell ref="AY36:AY37"/>
    <mergeCell ref="AA35:AC35"/>
    <mergeCell ref="A36:A37"/>
    <mergeCell ref="B36:B37"/>
    <mergeCell ref="E36:E37"/>
    <mergeCell ref="Y36:Y37"/>
    <mergeCell ref="Z36:Z37"/>
    <mergeCell ref="AA36:AA37"/>
    <mergeCell ref="AB36:AB37"/>
    <mergeCell ref="AC36:AC37"/>
  </mergeCells>
  <conditionalFormatting sqref="D5">
    <cfRule type="cellIs" dxfId="78" priority="78" operator="equal">
      <formula>"ERROR &gt; 100%"</formula>
    </cfRule>
  </conditionalFormatting>
  <conditionalFormatting sqref="AU4:AU8 AU10:AU13 AU19:AU21 AU31:AU34 AU15:AU17">
    <cfRule type="cellIs" dxfId="77" priority="77" operator="equal">
      <formula>"NO HABILITADO"</formula>
    </cfRule>
  </conditionalFormatting>
  <conditionalFormatting sqref="AP6">
    <cfRule type="cellIs" dxfId="76" priority="71" operator="equal">
      <formula>$AP$19</formula>
    </cfRule>
  </conditionalFormatting>
  <conditionalFormatting sqref="AQ6:AS7">
    <cfRule type="cellIs" dxfId="75" priority="72" operator="equal">
      <formula>#REF!</formula>
    </cfRule>
  </conditionalFormatting>
  <conditionalFormatting sqref="D8">
    <cfRule type="cellIs" dxfId="74" priority="70" operator="equal">
      <formula>"ERROR &gt; 100%"</formula>
    </cfRule>
  </conditionalFormatting>
  <conditionalFormatting sqref="M6:M7">
    <cfRule type="cellIs" dxfId="73" priority="69" operator="equal">
      <formula>$M$19</formula>
    </cfRule>
  </conditionalFormatting>
  <conditionalFormatting sqref="I6:I7">
    <cfRule type="cellIs" dxfId="72" priority="68" operator="equal">
      <formula>"No Cumple"</formula>
    </cfRule>
  </conditionalFormatting>
  <conditionalFormatting sqref="J6:J7">
    <cfRule type="cellIs" dxfId="71" priority="67" operator="greaterThan">
      <formula>1</formula>
    </cfRule>
  </conditionalFormatting>
  <conditionalFormatting sqref="AM6:AM7">
    <cfRule type="cellIs" dxfId="70" priority="73" operator="equal">
      <formula>#REF!</formula>
    </cfRule>
  </conditionalFormatting>
  <conditionalFormatting sqref="AM6:AM7">
    <cfRule type="cellIs" dxfId="69" priority="74" operator="equal">
      <formula>#REF!</formula>
    </cfRule>
    <cfRule type="cellIs" dxfId="68" priority="75" operator="equal">
      <formula>#REF!</formula>
    </cfRule>
    <cfRule type="cellIs" dxfId="67" priority="76" operator="equal">
      <formula>#REF!</formula>
    </cfRule>
  </conditionalFormatting>
  <conditionalFormatting sqref="AP10">
    <cfRule type="cellIs" dxfId="66" priority="61" operator="equal">
      <formula>$AP$19</formula>
    </cfRule>
  </conditionalFormatting>
  <conditionalFormatting sqref="AQ10:AS12">
    <cfRule type="cellIs" dxfId="65" priority="62" operator="equal">
      <formula>#REF!</formula>
    </cfRule>
  </conditionalFormatting>
  <conditionalFormatting sqref="D13">
    <cfRule type="cellIs" dxfId="64" priority="60" operator="equal">
      <formula>"ERROR &gt; 100%"</formula>
    </cfRule>
  </conditionalFormatting>
  <conditionalFormatting sqref="I10:I12">
    <cfRule type="cellIs" dxfId="63" priority="59" operator="equal">
      <formula>"No Cumple"</formula>
    </cfRule>
  </conditionalFormatting>
  <conditionalFormatting sqref="AM10:AM12">
    <cfRule type="cellIs" dxfId="62" priority="63" operator="equal">
      <formula>#REF!</formula>
    </cfRule>
  </conditionalFormatting>
  <conditionalFormatting sqref="AM10:AM12">
    <cfRule type="cellIs" dxfId="61" priority="64" operator="equal">
      <formula>#REF!</formula>
    </cfRule>
    <cfRule type="cellIs" dxfId="60" priority="65" operator="equal">
      <formula>#REF!</formula>
    </cfRule>
    <cfRule type="cellIs" dxfId="59" priority="66" operator="equal">
      <formula>#REF!</formula>
    </cfRule>
  </conditionalFormatting>
  <conditionalFormatting sqref="AP15">
    <cfRule type="cellIs" dxfId="58" priority="53" operator="equal">
      <formula>$AP$19</formula>
    </cfRule>
  </conditionalFormatting>
  <conditionalFormatting sqref="AQ15:AS16">
    <cfRule type="cellIs" dxfId="57" priority="54" operator="equal">
      <formula>#REF!</formula>
    </cfRule>
  </conditionalFormatting>
  <conditionalFormatting sqref="D17">
    <cfRule type="cellIs" dxfId="56" priority="52" operator="equal">
      <formula>"ERROR &gt; 100%"</formula>
    </cfRule>
  </conditionalFormatting>
  <conditionalFormatting sqref="I15:I16">
    <cfRule type="cellIs" dxfId="55" priority="51" operator="equal">
      <formula>"No Cumple"</formula>
    </cfRule>
  </conditionalFormatting>
  <conditionalFormatting sqref="J15:J16">
    <cfRule type="cellIs" dxfId="54" priority="50" operator="greaterThan">
      <formula>1</formula>
    </cfRule>
  </conditionalFormatting>
  <conditionalFormatting sqref="AM15:AM16">
    <cfRule type="cellIs" dxfId="53" priority="55" operator="equal">
      <formula>#REF!</formula>
    </cfRule>
  </conditionalFormatting>
  <conditionalFormatting sqref="AM15:AM16">
    <cfRule type="cellIs" dxfId="52" priority="56" operator="equal">
      <formula>#REF!</formula>
    </cfRule>
    <cfRule type="cellIs" dxfId="51" priority="57" operator="equal">
      <formula>#REF!</formula>
    </cfRule>
    <cfRule type="cellIs" dxfId="50" priority="58" operator="equal">
      <formula>#REF!</formula>
    </cfRule>
  </conditionalFormatting>
  <conditionalFormatting sqref="AP19">
    <cfRule type="cellIs" dxfId="49" priority="44" operator="equal">
      <formula>$AP$19</formula>
    </cfRule>
  </conditionalFormatting>
  <conditionalFormatting sqref="AQ19:AS20">
    <cfRule type="cellIs" dxfId="48" priority="45" operator="equal">
      <formula>#REF!</formula>
    </cfRule>
  </conditionalFormatting>
  <conditionalFormatting sqref="D21">
    <cfRule type="cellIs" dxfId="47" priority="43" operator="equal">
      <formula>"ERROR &gt; 100%"</formula>
    </cfRule>
  </conditionalFormatting>
  <conditionalFormatting sqref="I19:I20">
    <cfRule type="cellIs" dxfId="46" priority="42" operator="equal">
      <formula>"No Cumple"</formula>
    </cfRule>
  </conditionalFormatting>
  <conditionalFormatting sqref="AM19:AM20">
    <cfRule type="cellIs" dxfId="45" priority="46" operator="equal">
      <formula>#REF!</formula>
    </cfRule>
  </conditionalFormatting>
  <conditionalFormatting sqref="AM19:AM20">
    <cfRule type="cellIs" dxfId="44" priority="47" operator="equal">
      <formula>#REF!</formula>
    </cfRule>
    <cfRule type="cellIs" dxfId="43" priority="48" operator="equal">
      <formula>#REF!</formula>
    </cfRule>
    <cfRule type="cellIs" dxfId="42" priority="49" operator="equal">
      <formula>#REF!</formula>
    </cfRule>
  </conditionalFormatting>
  <conditionalFormatting sqref="AP23">
    <cfRule type="cellIs" dxfId="41" priority="36" operator="equal">
      <formula>$AP$19</formula>
    </cfRule>
  </conditionalFormatting>
  <conditionalFormatting sqref="AQ23:AS28">
    <cfRule type="cellIs" dxfId="40" priority="37" operator="equal">
      <formula>#REF!</formula>
    </cfRule>
  </conditionalFormatting>
  <conditionalFormatting sqref="D29">
    <cfRule type="cellIs" dxfId="39" priority="35" operator="equal">
      <formula>"ERROR &gt; 100%"</formula>
    </cfRule>
  </conditionalFormatting>
  <conditionalFormatting sqref="I23">
    <cfRule type="cellIs" dxfId="38" priority="34" operator="equal">
      <formula>"No Cumple"</formula>
    </cfRule>
  </conditionalFormatting>
  <conditionalFormatting sqref="AU23:AU29">
    <cfRule type="cellIs" dxfId="37" priority="33" operator="equal">
      <formula>"NO HABILITADO"</formula>
    </cfRule>
  </conditionalFormatting>
  <conditionalFormatting sqref="AM23:AM28">
    <cfRule type="cellIs" dxfId="36" priority="38" operator="equal">
      <formula>#REF!</formula>
    </cfRule>
  </conditionalFormatting>
  <conditionalFormatting sqref="AM23:AM28">
    <cfRule type="cellIs" dxfId="35" priority="39" operator="equal">
      <formula>#REF!</formula>
    </cfRule>
    <cfRule type="cellIs" dxfId="34" priority="40" operator="equal">
      <formula>#REF!</formula>
    </cfRule>
    <cfRule type="cellIs" dxfId="33" priority="41" operator="equal">
      <formula>#REF!</formula>
    </cfRule>
  </conditionalFormatting>
  <conditionalFormatting sqref="AP31">
    <cfRule type="cellIs" dxfId="32" priority="27" operator="equal">
      <formula>$AP$19</formula>
    </cfRule>
  </conditionalFormatting>
  <conditionalFormatting sqref="AQ31:AS33">
    <cfRule type="cellIs" dxfId="31" priority="28" operator="equal">
      <formula>#REF!</formula>
    </cfRule>
  </conditionalFormatting>
  <conditionalFormatting sqref="D34">
    <cfRule type="cellIs" dxfId="30" priority="26" operator="equal">
      <formula>"ERROR &gt; 100%"</formula>
    </cfRule>
  </conditionalFormatting>
  <conditionalFormatting sqref="I31:I33">
    <cfRule type="cellIs" dxfId="29" priority="25" operator="equal">
      <formula>"No Cumple"</formula>
    </cfRule>
  </conditionalFormatting>
  <conditionalFormatting sqref="AM31:AM33">
    <cfRule type="cellIs" dxfId="28" priority="29" operator="equal">
      <formula>#REF!</formula>
    </cfRule>
  </conditionalFormatting>
  <conditionalFormatting sqref="AM31:AM33">
    <cfRule type="cellIs" dxfId="27" priority="30" operator="equal">
      <formula>#REF!</formula>
    </cfRule>
    <cfRule type="cellIs" dxfId="26" priority="31" operator="equal">
      <formula>#REF!</formula>
    </cfRule>
    <cfRule type="cellIs" dxfId="25" priority="32" operator="equal">
      <formula>#REF!</formula>
    </cfRule>
  </conditionalFormatting>
  <conditionalFormatting sqref="AP36">
    <cfRule type="cellIs" dxfId="24" priority="19" operator="equal">
      <formula>$AP$19</formula>
    </cfRule>
  </conditionalFormatting>
  <conditionalFormatting sqref="AQ36:AS37">
    <cfRule type="cellIs" dxfId="23" priority="20" operator="equal">
      <formula>#REF!</formula>
    </cfRule>
  </conditionalFormatting>
  <conditionalFormatting sqref="M19:M20">
    <cfRule type="cellIs" dxfId="22" priority="13" operator="equal">
      <formula>$M$19</formula>
    </cfRule>
  </conditionalFormatting>
  <conditionalFormatting sqref="I36:I37">
    <cfRule type="cellIs" dxfId="21" priority="18" operator="equal">
      <formula>"No Cumple"</formula>
    </cfRule>
  </conditionalFormatting>
  <conditionalFormatting sqref="J36:J37">
    <cfRule type="cellIs" dxfId="20" priority="17" operator="greaterThan">
      <formula>1</formula>
    </cfRule>
  </conditionalFormatting>
  <conditionalFormatting sqref="AU36:AU37">
    <cfRule type="cellIs" dxfId="19" priority="16" operator="equal">
      <formula>"NO HABILITADO"</formula>
    </cfRule>
  </conditionalFormatting>
  <conditionalFormatting sqref="AM36:AM37">
    <cfRule type="cellIs" dxfId="18" priority="21" operator="equal">
      <formula>#REF!</formula>
    </cfRule>
  </conditionalFormatting>
  <conditionalFormatting sqref="AM36:AM37">
    <cfRule type="cellIs" dxfId="17" priority="22" operator="equal">
      <formula>#REF!</formula>
    </cfRule>
    <cfRule type="cellIs" dxfId="16" priority="23" operator="equal">
      <formula>#REF!</formula>
    </cfRule>
    <cfRule type="cellIs" dxfId="15" priority="24" operator="equal">
      <formula>#REF!</formula>
    </cfRule>
  </conditionalFormatting>
  <conditionalFormatting sqref="M10:M12">
    <cfRule type="cellIs" dxfId="14" priority="15" operator="equal">
      <formula>$M$19</formula>
    </cfRule>
  </conditionalFormatting>
  <conditionalFormatting sqref="M15:M16">
    <cfRule type="cellIs" dxfId="13" priority="14" operator="equal">
      <formula>$M$19</formula>
    </cfRule>
  </conditionalFormatting>
  <conditionalFormatting sqref="M23">
    <cfRule type="cellIs" dxfId="12" priority="12" operator="equal">
      <formula>$M$19</formula>
    </cfRule>
  </conditionalFormatting>
  <conditionalFormatting sqref="M31:M33">
    <cfRule type="cellIs" dxfId="11" priority="11" operator="equal">
      <formula>$M$19</formula>
    </cfRule>
  </conditionalFormatting>
  <conditionalFormatting sqref="M36:M37">
    <cfRule type="cellIs" dxfId="10" priority="10" operator="equal">
      <formula>$M$19</formula>
    </cfRule>
  </conditionalFormatting>
  <conditionalFormatting sqref="AU9">
    <cfRule type="cellIs" dxfId="9" priority="9" operator="equal">
      <formula>"NO HABILITADO"</formula>
    </cfRule>
  </conditionalFormatting>
  <conditionalFormatting sqref="AU14">
    <cfRule type="cellIs" dxfId="8" priority="8" operator="equal">
      <formula>"NO HABILITADO"</formula>
    </cfRule>
  </conditionalFormatting>
  <conditionalFormatting sqref="AU18">
    <cfRule type="cellIs" dxfId="7" priority="7" operator="equal">
      <formula>"NO HABILITADO"</formula>
    </cfRule>
  </conditionalFormatting>
  <conditionalFormatting sqref="AU22">
    <cfRule type="cellIs" dxfId="6" priority="6" operator="equal">
      <formula>"NO HABILITADO"</formula>
    </cfRule>
  </conditionalFormatting>
  <conditionalFormatting sqref="AU30">
    <cfRule type="cellIs" dxfId="5" priority="5" operator="equal">
      <formula>"NO HABILITADO"</formula>
    </cfRule>
  </conditionalFormatting>
  <conditionalFormatting sqref="AU35">
    <cfRule type="cellIs" dxfId="4" priority="4" operator="equal">
      <formula>"NO HABILITADO"</formula>
    </cfRule>
  </conditionalFormatting>
  <conditionalFormatting sqref="J11:J12">
    <cfRule type="cellIs" dxfId="3" priority="3" operator="greaterThan">
      <formula>1</formula>
    </cfRule>
  </conditionalFormatting>
  <conditionalFormatting sqref="J20">
    <cfRule type="cellIs" dxfId="2" priority="2" operator="greaterThan">
      <formula>1</formula>
    </cfRule>
  </conditionalFormatting>
  <conditionalFormatting sqref="J31:J33">
    <cfRule type="cellIs" dxfId="1" priority="1" operator="greaterThan">
      <formula>1</formula>
    </cfRule>
  </conditionalFormatting>
  <dataValidations disablePrompts="1" count="3">
    <dataValidation type="list" allowBlank="1" showInputMessage="1" showErrorMessage="1" sqref="I36:I37 I10:I12 I15:I16 I19:I20 I7 I31:I33 I23" xr:uid="{00000000-0002-0000-0000-000000000000}">
      <formula1>"Cumple, No Cumple"</formula1>
    </dataValidation>
    <dataValidation type="list" allowBlank="1" showInputMessage="1" showErrorMessage="1" sqref="I6" xr:uid="{00000000-0002-0000-0000-000001000000}">
      <formula1>$H$3:$I$3</formula1>
    </dataValidation>
    <dataValidation type="list" allowBlank="1" showInputMessage="1" showErrorMessage="1" sqref="M6:M7 X32:X33 X11:X12 M15:M16 X7 M10:M12 M19:M20 M23 AI6:AI7 AC6:AD7 M36:M37 M31:M33" xr:uid="{00000000-0002-0000-0000-000002000000}">
      <formula1>$H$3:$J$3</formula1>
    </dataValidation>
  </dataValidations>
  <printOptions horizontalCentered="1" verticalCentered="1"/>
  <pageMargins left="0.23622047244094491" right="0.23622047244094491" top="0.15748031496062992" bottom="0.15748031496062992" header="0.31496062992125984" footer="0.31496062992125984"/>
  <pageSetup scale="38" fitToWidth="0" orientation="landscape" r:id="rId1"/>
  <rowBreaks count="1" manualBreakCount="1">
    <brk id="20" max="50" man="1"/>
  </rowBreaks>
  <colBreaks count="3" manualBreakCount="3">
    <brk id="15" max="49" man="1"/>
    <brk id="27" max="49" man="1"/>
    <brk id="4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A81"/>
  <sheetViews>
    <sheetView view="pageBreakPreview" topLeftCell="K53" zoomScale="60" zoomScaleNormal="90" workbookViewId="0">
      <selection activeCell="Y63" sqref="Y63"/>
    </sheetView>
  </sheetViews>
  <sheetFormatPr baseColWidth="10" defaultRowHeight="15" x14ac:dyDescent="0.25"/>
  <cols>
    <col min="1" max="1" width="20" customWidth="1"/>
    <col min="2" max="2" width="19.85546875" customWidth="1"/>
    <col min="3" max="3" width="27.42578125" customWidth="1"/>
    <col min="4" max="4" width="40.42578125" customWidth="1"/>
    <col min="5" max="5" width="30" customWidth="1"/>
    <col min="6" max="6" width="37.7109375" customWidth="1"/>
    <col min="7" max="7" width="36.7109375" customWidth="1"/>
    <col min="8" max="8" width="51.42578125" customWidth="1"/>
    <col min="9" max="9" width="39.140625" customWidth="1"/>
    <col min="10" max="10" width="27.140625" customWidth="1"/>
    <col min="11" max="11" width="37.140625" customWidth="1"/>
    <col min="12" max="13" width="16" customWidth="1"/>
    <col min="14" max="14" width="19.42578125" customWidth="1"/>
    <col min="15" max="15" width="76.28515625" customWidth="1"/>
    <col min="16" max="16" width="16.42578125" customWidth="1"/>
    <col min="17" max="18" width="28.28515625" customWidth="1"/>
    <col min="19" max="19" width="23.7109375" customWidth="1"/>
    <col min="20" max="20" width="23.42578125" customWidth="1"/>
    <col min="21" max="21" width="24.42578125" customWidth="1"/>
    <col min="22" max="22" width="16.42578125" customWidth="1"/>
    <col min="23" max="23" width="52.42578125" customWidth="1"/>
    <col min="24" max="24" width="18.7109375" customWidth="1"/>
  </cols>
  <sheetData>
    <row r="1" spans="1:24" s="1" customFormat="1" ht="32.25" x14ac:dyDescent="0.25">
      <c r="A1" s="325" t="s">
        <v>428</v>
      </c>
      <c r="B1" s="326"/>
      <c r="C1" s="326"/>
      <c r="D1" s="326"/>
      <c r="E1" s="326"/>
      <c r="F1" s="326"/>
      <c r="G1" s="326"/>
      <c r="H1" s="326"/>
      <c r="I1" s="326"/>
      <c r="J1" s="326"/>
      <c r="K1" s="326"/>
      <c r="L1" s="326"/>
      <c r="M1" s="326"/>
      <c r="N1" s="326"/>
      <c r="O1" s="326"/>
      <c r="P1" s="326"/>
      <c r="Q1" s="326"/>
      <c r="R1" s="326"/>
      <c r="S1" s="326"/>
      <c r="T1" s="326"/>
      <c r="U1" s="326"/>
      <c r="V1" s="326"/>
      <c r="W1" s="193"/>
      <c r="X1" s="194"/>
    </row>
    <row r="2" spans="1:24" s="1" customFormat="1" ht="20.25" x14ac:dyDescent="0.25">
      <c r="A2" s="328" t="s">
        <v>25</v>
      </c>
      <c r="B2" s="329" t="s">
        <v>2</v>
      </c>
      <c r="C2" s="313" t="s">
        <v>81</v>
      </c>
      <c r="D2" s="313"/>
      <c r="E2" s="313"/>
      <c r="F2" s="313"/>
      <c r="G2" s="313"/>
      <c r="H2" s="313"/>
      <c r="I2" s="313"/>
      <c r="J2" s="313"/>
      <c r="K2" s="313"/>
      <c r="L2" s="313"/>
      <c r="M2" s="313"/>
      <c r="N2" s="313"/>
      <c r="O2" s="313"/>
      <c r="P2" s="313"/>
      <c r="Q2" s="313"/>
      <c r="R2" s="313"/>
      <c r="S2" s="313"/>
      <c r="T2" s="313"/>
      <c r="U2" s="313"/>
      <c r="V2" s="313"/>
      <c r="W2" s="78"/>
      <c r="X2" s="195"/>
    </row>
    <row r="3" spans="1:24" s="1" customFormat="1" ht="102" x14ac:dyDescent="0.25">
      <c r="A3" s="328"/>
      <c r="B3" s="329"/>
      <c r="C3" s="74" t="s">
        <v>45</v>
      </c>
      <c r="D3" s="75" t="s">
        <v>41</v>
      </c>
      <c r="E3" s="75" t="s">
        <v>48</v>
      </c>
      <c r="F3" s="75" t="s">
        <v>47</v>
      </c>
      <c r="G3" s="77" t="s">
        <v>104</v>
      </c>
      <c r="H3" s="75" t="s">
        <v>182</v>
      </c>
      <c r="I3" s="75" t="s">
        <v>49</v>
      </c>
      <c r="J3" s="75" t="s">
        <v>29</v>
      </c>
      <c r="K3" s="75" t="s">
        <v>30</v>
      </c>
      <c r="L3" s="75" t="s">
        <v>31</v>
      </c>
      <c r="M3" s="75" t="s">
        <v>32</v>
      </c>
      <c r="N3" s="75" t="s">
        <v>33</v>
      </c>
      <c r="O3" s="75" t="s">
        <v>34</v>
      </c>
      <c r="P3" s="75" t="s">
        <v>35</v>
      </c>
      <c r="Q3" s="75" t="s">
        <v>183</v>
      </c>
      <c r="R3" s="75" t="s">
        <v>36</v>
      </c>
      <c r="S3" s="75" t="s">
        <v>37</v>
      </c>
      <c r="T3" s="75" t="s">
        <v>38</v>
      </c>
      <c r="U3" s="75" t="s">
        <v>39</v>
      </c>
      <c r="V3" s="75" t="s">
        <v>40</v>
      </c>
      <c r="W3" s="75" t="s">
        <v>427</v>
      </c>
      <c r="X3" s="196" t="s">
        <v>390</v>
      </c>
    </row>
    <row r="4" spans="1:24" ht="115.5" x14ac:dyDescent="0.25">
      <c r="A4" s="321">
        <v>1</v>
      </c>
      <c r="B4" s="310" t="s">
        <v>64</v>
      </c>
      <c r="C4" s="76" t="s">
        <v>82</v>
      </c>
      <c r="D4" s="62" t="s">
        <v>83</v>
      </c>
      <c r="E4" s="22" t="s">
        <v>84</v>
      </c>
      <c r="F4" s="22" t="s">
        <v>184</v>
      </c>
      <c r="G4" s="22" t="s">
        <v>429</v>
      </c>
      <c r="H4" s="113" t="s">
        <v>46</v>
      </c>
      <c r="I4" s="113" t="s">
        <v>185</v>
      </c>
      <c r="J4" s="113" t="s">
        <v>82</v>
      </c>
      <c r="K4" s="22" t="s">
        <v>430</v>
      </c>
      <c r="L4" s="9">
        <v>41821</v>
      </c>
      <c r="M4" s="9">
        <v>41824</v>
      </c>
      <c r="N4" s="119">
        <v>93288098</v>
      </c>
      <c r="O4" s="22" t="s">
        <v>186</v>
      </c>
      <c r="P4" s="80">
        <v>11896</v>
      </c>
      <c r="Q4" s="113" t="s">
        <v>46</v>
      </c>
      <c r="R4" s="8" t="s">
        <v>46</v>
      </c>
      <c r="S4" s="8" t="s">
        <v>89</v>
      </c>
      <c r="T4" s="8" t="s">
        <v>187</v>
      </c>
      <c r="U4" s="8" t="s">
        <v>188</v>
      </c>
      <c r="V4" s="8" t="s">
        <v>85</v>
      </c>
      <c r="W4" s="85" t="s">
        <v>521</v>
      </c>
      <c r="X4" s="316" t="s">
        <v>394</v>
      </c>
    </row>
    <row r="5" spans="1:24" ht="20.25" x14ac:dyDescent="0.25">
      <c r="A5" s="321"/>
      <c r="B5" s="310"/>
      <c r="C5" s="313" t="s">
        <v>109</v>
      </c>
      <c r="D5" s="313"/>
      <c r="E5" s="313"/>
      <c r="F5" s="313"/>
      <c r="G5" s="313"/>
      <c r="H5" s="313"/>
      <c r="I5" s="313"/>
      <c r="J5" s="313"/>
      <c r="K5" s="313"/>
      <c r="L5" s="313"/>
      <c r="M5" s="313"/>
      <c r="N5" s="313"/>
      <c r="O5" s="313"/>
      <c r="P5" s="313"/>
      <c r="Q5" s="313"/>
      <c r="R5" s="313"/>
      <c r="S5" s="313"/>
      <c r="T5" s="313"/>
      <c r="U5" s="313"/>
      <c r="V5" s="313"/>
      <c r="W5" s="10"/>
      <c r="X5" s="316"/>
    </row>
    <row r="6" spans="1:24" ht="76.5" x14ac:dyDescent="0.25">
      <c r="A6" s="321"/>
      <c r="B6" s="310"/>
      <c r="C6" s="74" t="s">
        <v>45</v>
      </c>
      <c r="D6" s="75" t="s">
        <v>41</v>
      </c>
      <c r="E6" s="75" t="s">
        <v>48</v>
      </c>
      <c r="F6" s="75" t="s">
        <v>88</v>
      </c>
      <c r="G6" s="77" t="s">
        <v>105</v>
      </c>
      <c r="H6" s="75" t="s">
        <v>189</v>
      </c>
      <c r="I6" s="75" t="s">
        <v>49</v>
      </c>
      <c r="J6" s="75" t="s">
        <v>29</v>
      </c>
      <c r="K6" s="75" t="s">
        <v>30</v>
      </c>
      <c r="L6" s="75" t="s">
        <v>31</v>
      </c>
      <c r="M6" s="75" t="s">
        <v>32</v>
      </c>
      <c r="N6" s="75" t="s">
        <v>33</v>
      </c>
      <c r="O6" s="75" t="s">
        <v>34</v>
      </c>
      <c r="P6" s="75" t="s">
        <v>35</v>
      </c>
      <c r="Q6" s="75" t="s">
        <v>183</v>
      </c>
      <c r="R6" s="75" t="s">
        <v>36</v>
      </c>
      <c r="S6" s="75" t="s">
        <v>37</v>
      </c>
      <c r="T6" s="75" t="s">
        <v>38</v>
      </c>
      <c r="U6" s="75" t="s">
        <v>39</v>
      </c>
      <c r="V6" s="75" t="s">
        <v>40</v>
      </c>
      <c r="W6" s="75" t="s">
        <v>427</v>
      </c>
      <c r="X6" s="196" t="s">
        <v>390</v>
      </c>
    </row>
    <row r="7" spans="1:24" ht="181.5" x14ac:dyDescent="0.25">
      <c r="A7" s="321"/>
      <c r="B7" s="310"/>
      <c r="C7" s="78" t="s">
        <v>86</v>
      </c>
      <c r="D7" s="79" t="s">
        <v>83</v>
      </c>
      <c r="E7" s="8" t="s">
        <v>87</v>
      </c>
      <c r="F7" s="8" t="s">
        <v>190</v>
      </c>
      <c r="G7" s="113" t="s">
        <v>191</v>
      </c>
      <c r="H7" s="113" t="s">
        <v>46</v>
      </c>
      <c r="I7" s="113" t="s">
        <v>192</v>
      </c>
      <c r="J7" s="113" t="s">
        <v>86</v>
      </c>
      <c r="K7" s="113" t="s">
        <v>193</v>
      </c>
      <c r="L7" s="9">
        <v>43252</v>
      </c>
      <c r="M7" s="9">
        <v>43600</v>
      </c>
      <c r="N7" s="119">
        <v>553845070</v>
      </c>
      <c r="O7" s="113" t="s">
        <v>194</v>
      </c>
      <c r="P7" s="80">
        <v>3200</v>
      </c>
      <c r="Q7" s="8" t="s">
        <v>46</v>
      </c>
      <c r="R7" s="8" t="s">
        <v>46</v>
      </c>
      <c r="S7" s="8" t="s">
        <v>90</v>
      </c>
      <c r="T7" s="8" t="s">
        <v>195</v>
      </c>
      <c r="U7" s="8" t="s">
        <v>196</v>
      </c>
      <c r="V7" s="8" t="s">
        <v>197</v>
      </c>
      <c r="W7" s="10"/>
      <c r="X7" s="316" t="s">
        <v>394</v>
      </c>
    </row>
    <row r="8" spans="1:24" ht="16.5" x14ac:dyDescent="0.25">
      <c r="A8" s="197"/>
      <c r="B8" s="188"/>
      <c r="C8" s="188"/>
      <c r="D8" s="189"/>
      <c r="E8" s="190"/>
      <c r="F8" s="190"/>
      <c r="G8" s="190"/>
      <c r="H8" s="190"/>
      <c r="I8" s="190"/>
      <c r="J8" s="190"/>
      <c r="K8" s="190"/>
      <c r="L8" s="190"/>
      <c r="M8" s="190"/>
      <c r="N8" s="190"/>
      <c r="O8" s="190"/>
      <c r="P8" s="190"/>
      <c r="Q8" s="190"/>
      <c r="R8" s="190"/>
      <c r="S8" s="190"/>
      <c r="T8" s="190"/>
      <c r="U8" s="190"/>
      <c r="V8" s="190"/>
      <c r="W8" s="190"/>
      <c r="X8" s="316"/>
    </row>
    <row r="9" spans="1:24" ht="20.25" x14ac:dyDescent="0.25">
      <c r="A9" s="327">
        <v>2</v>
      </c>
      <c r="B9" s="295" t="s">
        <v>65</v>
      </c>
      <c r="C9" s="313" t="s">
        <v>81</v>
      </c>
      <c r="D9" s="313"/>
      <c r="E9" s="313"/>
      <c r="F9" s="313"/>
      <c r="G9" s="313"/>
      <c r="H9" s="313"/>
      <c r="I9" s="313"/>
      <c r="J9" s="313"/>
      <c r="K9" s="313"/>
      <c r="L9" s="313"/>
      <c r="M9" s="313"/>
      <c r="N9" s="313"/>
      <c r="O9" s="313"/>
      <c r="P9" s="313"/>
      <c r="Q9" s="313"/>
      <c r="R9" s="313"/>
      <c r="S9" s="313"/>
      <c r="T9" s="313"/>
      <c r="U9" s="313"/>
      <c r="V9" s="313"/>
      <c r="W9" s="10"/>
      <c r="X9" s="168"/>
    </row>
    <row r="10" spans="1:24" ht="102" x14ac:dyDescent="0.25">
      <c r="A10" s="327"/>
      <c r="B10" s="295"/>
      <c r="C10" s="74" t="s">
        <v>45</v>
      </c>
      <c r="D10" s="75" t="s">
        <v>41</v>
      </c>
      <c r="E10" s="75" t="s">
        <v>48</v>
      </c>
      <c r="F10" s="75" t="s">
        <v>47</v>
      </c>
      <c r="G10" s="77" t="s">
        <v>104</v>
      </c>
      <c r="H10" s="75" t="s">
        <v>182</v>
      </c>
      <c r="I10" s="75" t="s">
        <v>49</v>
      </c>
      <c r="J10" s="75" t="s">
        <v>29</v>
      </c>
      <c r="K10" s="75" t="s">
        <v>30</v>
      </c>
      <c r="L10" s="75" t="s">
        <v>31</v>
      </c>
      <c r="M10" s="75" t="s">
        <v>32</v>
      </c>
      <c r="N10" s="75" t="s">
        <v>33</v>
      </c>
      <c r="O10" s="75" t="s">
        <v>34</v>
      </c>
      <c r="P10" s="75" t="s">
        <v>35</v>
      </c>
      <c r="Q10" s="75" t="s">
        <v>183</v>
      </c>
      <c r="R10" s="75" t="s">
        <v>36</v>
      </c>
      <c r="S10" s="75" t="s">
        <v>37</v>
      </c>
      <c r="T10" s="75" t="s">
        <v>38</v>
      </c>
      <c r="U10" s="75" t="s">
        <v>39</v>
      </c>
      <c r="V10" s="75" t="s">
        <v>40</v>
      </c>
      <c r="W10" s="75" t="s">
        <v>427</v>
      </c>
      <c r="X10" s="196" t="s">
        <v>390</v>
      </c>
    </row>
    <row r="11" spans="1:24" ht="151.5" customHeight="1" x14ac:dyDescent="0.25">
      <c r="A11" s="327"/>
      <c r="B11" s="295"/>
      <c r="C11" s="310" t="s">
        <v>257</v>
      </c>
      <c r="D11" s="308" t="s">
        <v>431</v>
      </c>
      <c r="E11" s="309" t="s">
        <v>264</v>
      </c>
      <c r="F11" s="309" t="s">
        <v>265</v>
      </c>
      <c r="G11" s="22" t="s">
        <v>266</v>
      </c>
      <c r="H11" s="113" t="s">
        <v>46</v>
      </c>
      <c r="I11" s="113" t="s">
        <v>267</v>
      </c>
      <c r="J11" s="113" t="s">
        <v>268</v>
      </c>
      <c r="K11" s="22" t="s">
        <v>328</v>
      </c>
      <c r="L11" s="9">
        <v>38869</v>
      </c>
      <c r="M11" s="9">
        <v>39063</v>
      </c>
      <c r="N11" s="119">
        <v>78606584.260000005</v>
      </c>
      <c r="O11" s="22" t="s">
        <v>337</v>
      </c>
      <c r="P11" s="113">
        <v>1658.61</v>
      </c>
      <c r="Q11" s="309" t="s">
        <v>46</v>
      </c>
      <c r="R11" s="309" t="s">
        <v>46</v>
      </c>
      <c r="S11" s="309" t="s">
        <v>269</v>
      </c>
      <c r="T11" s="309" t="s">
        <v>270</v>
      </c>
      <c r="U11" s="309" t="s">
        <v>271</v>
      </c>
      <c r="V11" s="309" t="s">
        <v>272</v>
      </c>
      <c r="W11" s="258"/>
      <c r="X11" s="316" t="s">
        <v>394</v>
      </c>
    </row>
    <row r="12" spans="1:24" ht="213" customHeight="1" x14ac:dyDescent="0.25">
      <c r="A12" s="327"/>
      <c r="B12" s="295"/>
      <c r="C12" s="310"/>
      <c r="D12" s="308"/>
      <c r="E12" s="309"/>
      <c r="F12" s="309"/>
      <c r="G12" s="22" t="s">
        <v>273</v>
      </c>
      <c r="H12" s="113" t="s">
        <v>46</v>
      </c>
      <c r="I12" s="113" t="s">
        <v>274</v>
      </c>
      <c r="J12" s="113" t="s">
        <v>257</v>
      </c>
      <c r="K12" s="22" t="s">
        <v>329</v>
      </c>
      <c r="L12" s="9">
        <v>40753</v>
      </c>
      <c r="M12" s="9" t="s">
        <v>275</v>
      </c>
      <c r="N12" s="119">
        <v>401540633.36000001</v>
      </c>
      <c r="O12" s="22" t="s">
        <v>330</v>
      </c>
      <c r="P12" s="113">
        <v>26056.87</v>
      </c>
      <c r="Q12" s="309"/>
      <c r="R12" s="309"/>
      <c r="S12" s="309"/>
      <c r="T12" s="309"/>
      <c r="U12" s="309"/>
      <c r="V12" s="309"/>
      <c r="W12" s="258"/>
      <c r="X12" s="316"/>
    </row>
    <row r="13" spans="1:24" ht="20.25" x14ac:dyDescent="0.25">
      <c r="A13" s="327"/>
      <c r="B13" s="295"/>
      <c r="C13" s="313" t="s">
        <v>109</v>
      </c>
      <c r="D13" s="313"/>
      <c r="E13" s="313"/>
      <c r="F13" s="313"/>
      <c r="G13" s="313"/>
      <c r="H13" s="313"/>
      <c r="I13" s="313"/>
      <c r="J13" s="313"/>
      <c r="K13" s="313"/>
      <c r="L13" s="313"/>
      <c r="M13" s="313"/>
      <c r="N13" s="313"/>
      <c r="O13" s="313"/>
      <c r="P13" s="313"/>
      <c r="Q13" s="313"/>
      <c r="R13" s="313"/>
      <c r="S13" s="313"/>
      <c r="T13" s="313"/>
      <c r="U13" s="313"/>
      <c r="V13" s="313"/>
      <c r="W13" s="10"/>
      <c r="X13" s="168"/>
    </row>
    <row r="14" spans="1:24" ht="76.5" x14ac:dyDescent="0.25">
      <c r="A14" s="327"/>
      <c r="B14" s="295"/>
      <c r="C14" s="74" t="s">
        <v>45</v>
      </c>
      <c r="D14" s="75" t="s">
        <v>41</v>
      </c>
      <c r="E14" s="75" t="s">
        <v>48</v>
      </c>
      <c r="F14" s="75" t="s">
        <v>88</v>
      </c>
      <c r="G14" s="77" t="s">
        <v>105</v>
      </c>
      <c r="H14" s="75" t="s">
        <v>189</v>
      </c>
      <c r="I14" s="75" t="s">
        <v>49</v>
      </c>
      <c r="J14" s="75" t="s">
        <v>29</v>
      </c>
      <c r="K14" s="75" t="s">
        <v>30</v>
      </c>
      <c r="L14" s="75" t="s">
        <v>31</v>
      </c>
      <c r="M14" s="75" t="s">
        <v>32</v>
      </c>
      <c r="N14" s="75" t="s">
        <v>33</v>
      </c>
      <c r="O14" s="75" t="s">
        <v>34</v>
      </c>
      <c r="P14" s="75" t="s">
        <v>35</v>
      </c>
      <c r="Q14" s="75" t="s">
        <v>183</v>
      </c>
      <c r="R14" s="75" t="s">
        <v>36</v>
      </c>
      <c r="S14" s="75" t="s">
        <v>37</v>
      </c>
      <c r="T14" s="75" t="s">
        <v>38</v>
      </c>
      <c r="U14" s="75" t="s">
        <v>39</v>
      </c>
      <c r="V14" s="75" t="s">
        <v>40</v>
      </c>
      <c r="W14" s="75" t="s">
        <v>427</v>
      </c>
      <c r="X14" s="196" t="s">
        <v>390</v>
      </c>
    </row>
    <row r="15" spans="1:24" ht="190.5" customHeight="1" x14ac:dyDescent="0.25">
      <c r="A15" s="327"/>
      <c r="B15" s="295"/>
      <c r="C15" s="78" t="s">
        <v>276</v>
      </c>
      <c r="D15" s="79" t="s">
        <v>431</v>
      </c>
      <c r="E15" s="8" t="s">
        <v>87</v>
      </c>
      <c r="F15" s="8" t="s">
        <v>277</v>
      </c>
      <c r="G15" s="113" t="s">
        <v>278</v>
      </c>
      <c r="H15" s="113" t="s">
        <v>46</v>
      </c>
      <c r="I15" s="113" t="s">
        <v>279</v>
      </c>
      <c r="J15" s="113" t="s">
        <v>280</v>
      </c>
      <c r="K15" s="113" t="s">
        <v>338</v>
      </c>
      <c r="L15" s="9">
        <v>40837</v>
      </c>
      <c r="M15" s="9">
        <v>41182</v>
      </c>
      <c r="N15" s="119">
        <v>212610600</v>
      </c>
      <c r="O15" s="113" t="s">
        <v>281</v>
      </c>
      <c r="P15" s="80">
        <v>3538</v>
      </c>
      <c r="Q15" s="113" t="s">
        <v>46</v>
      </c>
      <c r="R15" s="113" t="s">
        <v>46</v>
      </c>
      <c r="S15" s="8" t="s">
        <v>282</v>
      </c>
      <c r="T15" s="8" t="s">
        <v>283</v>
      </c>
      <c r="U15" s="8" t="s">
        <v>284</v>
      </c>
      <c r="V15" s="8" t="s">
        <v>285</v>
      </c>
      <c r="W15" s="10"/>
      <c r="X15" s="316" t="s">
        <v>394</v>
      </c>
    </row>
    <row r="16" spans="1:24" ht="16.5" x14ac:dyDescent="0.25">
      <c r="A16" s="197"/>
      <c r="B16" s="188"/>
      <c r="C16" s="188"/>
      <c r="D16" s="189"/>
      <c r="E16" s="190"/>
      <c r="F16" s="190"/>
      <c r="G16" s="190"/>
      <c r="H16" s="190"/>
      <c r="I16" s="190"/>
      <c r="J16" s="190"/>
      <c r="K16" s="190"/>
      <c r="L16" s="190"/>
      <c r="M16" s="190"/>
      <c r="N16" s="190"/>
      <c r="O16" s="190"/>
      <c r="P16" s="190"/>
      <c r="Q16" s="190"/>
      <c r="R16" s="190"/>
      <c r="S16" s="190"/>
      <c r="T16" s="190"/>
      <c r="U16" s="190"/>
      <c r="V16" s="190"/>
      <c r="W16" s="10"/>
      <c r="X16" s="316"/>
    </row>
    <row r="17" spans="1:27" ht="20.25" x14ac:dyDescent="0.25">
      <c r="A17" s="312" t="s">
        <v>81</v>
      </c>
      <c r="B17" s="313"/>
      <c r="C17" s="313"/>
      <c r="D17" s="313"/>
      <c r="E17" s="313"/>
      <c r="F17" s="313"/>
      <c r="G17" s="313"/>
      <c r="H17" s="313"/>
      <c r="I17" s="313"/>
      <c r="J17" s="313"/>
      <c r="K17" s="313"/>
      <c r="L17" s="313"/>
      <c r="M17" s="313"/>
      <c r="N17" s="313"/>
      <c r="O17" s="313"/>
      <c r="P17" s="313"/>
      <c r="Q17" s="313"/>
      <c r="R17" s="313"/>
      <c r="S17" s="313"/>
      <c r="T17" s="313"/>
      <c r="U17" s="313"/>
      <c r="V17" s="313"/>
      <c r="W17" s="10"/>
      <c r="X17" s="316"/>
    </row>
    <row r="18" spans="1:27" ht="102" x14ac:dyDescent="0.25">
      <c r="A18" s="321">
        <v>3</v>
      </c>
      <c r="B18" s="310" t="s">
        <v>66</v>
      </c>
      <c r="C18" s="74" t="s">
        <v>45</v>
      </c>
      <c r="D18" s="75" t="s">
        <v>41</v>
      </c>
      <c r="E18" s="75" t="s">
        <v>48</v>
      </c>
      <c r="F18" s="75" t="s">
        <v>47</v>
      </c>
      <c r="G18" s="77" t="s">
        <v>104</v>
      </c>
      <c r="H18" s="75" t="s">
        <v>182</v>
      </c>
      <c r="I18" s="75" t="s">
        <v>49</v>
      </c>
      <c r="J18" s="75" t="s">
        <v>29</v>
      </c>
      <c r="K18" s="75" t="s">
        <v>30</v>
      </c>
      <c r="L18" s="75" t="s">
        <v>31</v>
      </c>
      <c r="M18" s="75" t="s">
        <v>32</v>
      </c>
      <c r="N18" s="75" t="s">
        <v>33</v>
      </c>
      <c r="O18" s="75" t="s">
        <v>34</v>
      </c>
      <c r="P18" s="75" t="s">
        <v>35</v>
      </c>
      <c r="Q18" s="75" t="s">
        <v>183</v>
      </c>
      <c r="R18" s="75" t="s">
        <v>36</v>
      </c>
      <c r="S18" s="75" t="s">
        <v>37</v>
      </c>
      <c r="T18" s="75" t="s">
        <v>38</v>
      </c>
      <c r="U18" s="75" t="s">
        <v>39</v>
      </c>
      <c r="V18" s="75" t="s">
        <v>40</v>
      </c>
      <c r="W18" s="75" t="s">
        <v>427</v>
      </c>
      <c r="X18" s="196" t="s">
        <v>390</v>
      </c>
    </row>
    <row r="19" spans="1:27" ht="121.5" x14ac:dyDescent="0.25">
      <c r="A19" s="321"/>
      <c r="B19" s="310"/>
      <c r="C19" s="310" t="s">
        <v>121</v>
      </c>
      <c r="D19" s="310" t="s">
        <v>83</v>
      </c>
      <c r="E19" s="310" t="s">
        <v>432</v>
      </c>
      <c r="F19" s="310" t="s">
        <v>198</v>
      </c>
      <c r="G19" s="12" t="s">
        <v>199</v>
      </c>
      <c r="H19" s="117" t="s">
        <v>46</v>
      </c>
      <c r="I19" s="81" t="s">
        <v>200</v>
      </c>
      <c r="J19" s="309" t="s">
        <v>121</v>
      </c>
      <c r="K19" s="117" t="s">
        <v>201</v>
      </c>
      <c r="L19" s="82">
        <v>39146</v>
      </c>
      <c r="M19" s="82">
        <v>39515</v>
      </c>
      <c r="N19" s="119">
        <v>118094801</v>
      </c>
      <c r="O19" s="81" t="s">
        <v>202</v>
      </c>
      <c r="P19" s="117">
        <v>1437</v>
      </c>
      <c r="Q19" s="309" t="s">
        <v>46</v>
      </c>
      <c r="R19" s="309" t="s">
        <v>46</v>
      </c>
      <c r="S19" s="309" t="s">
        <v>122</v>
      </c>
      <c r="T19" s="309" t="s">
        <v>203</v>
      </c>
      <c r="U19" s="309" t="s">
        <v>204</v>
      </c>
      <c r="V19" s="309" t="s">
        <v>205</v>
      </c>
      <c r="W19" s="258"/>
      <c r="X19" s="316" t="s">
        <v>394</v>
      </c>
    </row>
    <row r="20" spans="1:27" ht="94.5" x14ac:dyDescent="0.25">
      <c r="A20" s="321"/>
      <c r="B20" s="310"/>
      <c r="C20" s="310"/>
      <c r="D20" s="310"/>
      <c r="E20" s="310"/>
      <c r="F20" s="310"/>
      <c r="G20" s="12" t="s">
        <v>206</v>
      </c>
      <c r="H20" s="117" t="s">
        <v>46</v>
      </c>
      <c r="I20" s="81" t="s">
        <v>207</v>
      </c>
      <c r="J20" s="309"/>
      <c r="K20" s="117" t="s">
        <v>208</v>
      </c>
      <c r="L20" s="82">
        <v>42726</v>
      </c>
      <c r="M20" s="82">
        <v>42982</v>
      </c>
      <c r="N20" s="119">
        <v>187557200</v>
      </c>
      <c r="O20" s="81" t="s">
        <v>202</v>
      </c>
      <c r="P20" s="117">
        <v>1100</v>
      </c>
      <c r="Q20" s="309"/>
      <c r="R20" s="309"/>
      <c r="S20" s="309"/>
      <c r="T20" s="309"/>
      <c r="U20" s="309"/>
      <c r="V20" s="309"/>
      <c r="W20" s="258"/>
      <c r="X20" s="316"/>
    </row>
    <row r="21" spans="1:27" ht="66" x14ac:dyDescent="0.25">
      <c r="A21" s="321"/>
      <c r="B21" s="310"/>
      <c r="C21" s="310"/>
      <c r="D21" s="310"/>
      <c r="E21" s="310"/>
      <c r="F21" s="310"/>
      <c r="G21" s="22" t="s">
        <v>209</v>
      </c>
      <c r="H21" s="113" t="s">
        <v>46</v>
      </c>
      <c r="I21" s="8" t="s">
        <v>210</v>
      </c>
      <c r="J21" s="309"/>
      <c r="K21" s="22" t="s">
        <v>211</v>
      </c>
      <c r="L21" s="9">
        <v>36251</v>
      </c>
      <c r="M21" s="9">
        <v>36465</v>
      </c>
      <c r="N21" s="119">
        <v>167046000</v>
      </c>
      <c r="O21" s="22" t="s">
        <v>212</v>
      </c>
      <c r="P21" s="117">
        <v>750</v>
      </c>
      <c r="Q21" s="309"/>
      <c r="R21" s="309"/>
      <c r="S21" s="309"/>
      <c r="T21" s="309"/>
      <c r="U21" s="309"/>
      <c r="V21" s="309"/>
      <c r="W21" s="258"/>
      <c r="X21" s="316"/>
    </row>
    <row r="22" spans="1:27" ht="20.25" x14ac:dyDescent="0.25">
      <c r="A22" s="321"/>
      <c r="B22" s="310"/>
      <c r="C22" s="313" t="s">
        <v>109</v>
      </c>
      <c r="D22" s="313"/>
      <c r="E22" s="313"/>
      <c r="F22" s="313"/>
      <c r="G22" s="313"/>
      <c r="H22" s="313"/>
      <c r="I22" s="313"/>
      <c r="J22" s="313"/>
      <c r="K22" s="313"/>
      <c r="L22" s="313"/>
      <c r="M22" s="313"/>
      <c r="N22" s="313"/>
      <c r="O22" s="313"/>
      <c r="P22" s="313"/>
      <c r="Q22" s="313"/>
      <c r="R22" s="313"/>
      <c r="S22" s="313"/>
      <c r="T22" s="313"/>
      <c r="U22" s="313"/>
      <c r="V22" s="313"/>
      <c r="W22" s="10"/>
      <c r="X22" s="168"/>
    </row>
    <row r="23" spans="1:27" ht="76.5" x14ac:dyDescent="0.25">
      <c r="A23" s="321"/>
      <c r="B23" s="310"/>
      <c r="C23" s="74" t="s">
        <v>45</v>
      </c>
      <c r="D23" s="75" t="s">
        <v>41</v>
      </c>
      <c r="E23" s="75" t="s">
        <v>48</v>
      </c>
      <c r="F23" s="75" t="s">
        <v>88</v>
      </c>
      <c r="G23" s="77" t="s">
        <v>105</v>
      </c>
      <c r="H23" s="75" t="s">
        <v>189</v>
      </c>
      <c r="I23" s="75" t="s">
        <v>49</v>
      </c>
      <c r="J23" s="75" t="s">
        <v>29</v>
      </c>
      <c r="K23" s="75" t="s">
        <v>30</v>
      </c>
      <c r="L23" s="75" t="s">
        <v>31</v>
      </c>
      <c r="M23" s="75" t="s">
        <v>32</v>
      </c>
      <c r="N23" s="75" t="s">
        <v>33</v>
      </c>
      <c r="O23" s="75" t="s">
        <v>34</v>
      </c>
      <c r="P23" s="75" t="s">
        <v>35</v>
      </c>
      <c r="Q23" s="75" t="s">
        <v>183</v>
      </c>
      <c r="R23" s="75" t="s">
        <v>36</v>
      </c>
      <c r="S23" s="75" t="s">
        <v>37</v>
      </c>
      <c r="T23" s="75" t="s">
        <v>38</v>
      </c>
      <c r="U23" s="75" t="s">
        <v>39</v>
      </c>
      <c r="V23" s="75" t="s">
        <v>40</v>
      </c>
      <c r="W23" s="75" t="s">
        <v>427</v>
      </c>
      <c r="X23" s="196" t="s">
        <v>390</v>
      </c>
    </row>
    <row r="24" spans="1:27" ht="92.25" customHeight="1" x14ac:dyDescent="0.25">
      <c r="A24" s="321"/>
      <c r="B24" s="310"/>
      <c r="C24" s="117" t="s">
        <v>124</v>
      </c>
      <c r="D24" s="81" t="s">
        <v>123</v>
      </c>
      <c r="E24" s="81" t="s">
        <v>87</v>
      </c>
      <c r="F24" s="81" t="s">
        <v>213</v>
      </c>
      <c r="G24" s="12" t="s">
        <v>214</v>
      </c>
      <c r="H24" s="117" t="s">
        <v>46</v>
      </c>
      <c r="I24" s="81" t="s">
        <v>215</v>
      </c>
      <c r="J24" s="81" t="s">
        <v>124</v>
      </c>
      <c r="K24" s="81" t="s">
        <v>433</v>
      </c>
      <c r="L24" s="82">
        <v>39797</v>
      </c>
      <c r="M24" s="82">
        <v>40055</v>
      </c>
      <c r="N24" s="119">
        <v>29285000</v>
      </c>
      <c r="O24" s="81" t="s">
        <v>212</v>
      </c>
      <c r="P24" s="81">
        <v>9517.98</v>
      </c>
      <c r="Q24" s="81" t="s">
        <v>46</v>
      </c>
      <c r="R24" s="81" t="s">
        <v>46</v>
      </c>
      <c r="S24" s="81" t="s">
        <v>125</v>
      </c>
      <c r="T24" s="8" t="s">
        <v>203</v>
      </c>
      <c r="U24" s="81" t="s">
        <v>138</v>
      </c>
      <c r="V24" s="81" t="s">
        <v>216</v>
      </c>
      <c r="W24" s="10"/>
      <c r="X24" s="198" t="s">
        <v>394</v>
      </c>
    </row>
    <row r="25" spans="1:27" ht="16.5" x14ac:dyDescent="0.25">
      <c r="A25" s="197"/>
      <c r="B25" s="188"/>
      <c r="C25" s="188"/>
      <c r="D25" s="189"/>
      <c r="E25" s="190"/>
      <c r="F25" s="190"/>
      <c r="G25" s="190"/>
      <c r="H25" s="190"/>
      <c r="I25" s="190"/>
      <c r="J25" s="190"/>
      <c r="K25" s="190"/>
      <c r="L25" s="190"/>
      <c r="M25" s="190"/>
      <c r="N25" s="190"/>
      <c r="O25" s="190"/>
      <c r="P25" s="190"/>
      <c r="Q25" s="190"/>
      <c r="R25" s="190"/>
      <c r="S25" s="190"/>
      <c r="T25" s="190"/>
      <c r="U25" s="190"/>
      <c r="V25" s="190"/>
      <c r="W25" s="10"/>
      <c r="X25" s="168"/>
    </row>
    <row r="26" spans="1:27" s="30" customFormat="1" ht="20.25" x14ac:dyDescent="0.25">
      <c r="A26" s="199"/>
      <c r="B26" s="191"/>
      <c r="C26" s="313" t="s">
        <v>81</v>
      </c>
      <c r="D26" s="313"/>
      <c r="E26" s="313"/>
      <c r="F26" s="313"/>
      <c r="G26" s="313"/>
      <c r="H26" s="313"/>
      <c r="I26" s="313"/>
      <c r="J26" s="313"/>
      <c r="K26" s="313"/>
      <c r="L26" s="313"/>
      <c r="M26" s="313"/>
      <c r="N26" s="313"/>
      <c r="O26" s="313"/>
      <c r="P26" s="313"/>
      <c r="Q26" s="313"/>
      <c r="R26" s="313"/>
      <c r="S26" s="313"/>
      <c r="T26" s="313"/>
      <c r="U26" s="313"/>
      <c r="V26" s="313"/>
      <c r="W26" s="192"/>
      <c r="X26" s="200"/>
    </row>
    <row r="27" spans="1:27" s="14" customFormat="1" ht="102" x14ac:dyDescent="0.25">
      <c r="A27" s="327">
        <v>4</v>
      </c>
      <c r="B27" s="295" t="s">
        <v>67</v>
      </c>
      <c r="C27" s="74" t="s">
        <v>45</v>
      </c>
      <c r="D27" s="75" t="s">
        <v>41</v>
      </c>
      <c r="E27" s="75" t="s">
        <v>48</v>
      </c>
      <c r="F27" s="75" t="s">
        <v>47</v>
      </c>
      <c r="G27" s="77" t="s">
        <v>104</v>
      </c>
      <c r="H27" s="75" t="s">
        <v>182</v>
      </c>
      <c r="I27" s="75" t="s">
        <v>49</v>
      </c>
      <c r="J27" s="75" t="s">
        <v>29</v>
      </c>
      <c r="K27" s="75" t="s">
        <v>30</v>
      </c>
      <c r="L27" s="75" t="s">
        <v>31</v>
      </c>
      <c r="M27" s="75" t="s">
        <v>32</v>
      </c>
      <c r="N27" s="75" t="s">
        <v>33</v>
      </c>
      <c r="O27" s="75" t="s">
        <v>34</v>
      </c>
      <c r="P27" s="75" t="s">
        <v>35</v>
      </c>
      <c r="Q27" s="75" t="s">
        <v>183</v>
      </c>
      <c r="R27" s="75" t="s">
        <v>36</v>
      </c>
      <c r="S27" s="75" t="s">
        <v>37</v>
      </c>
      <c r="T27" s="75" t="s">
        <v>38</v>
      </c>
      <c r="U27" s="75" t="s">
        <v>39</v>
      </c>
      <c r="V27" s="75" t="s">
        <v>40</v>
      </c>
      <c r="W27" s="75" t="s">
        <v>427</v>
      </c>
      <c r="X27" s="196" t="s">
        <v>390</v>
      </c>
      <c r="Y27" s="16"/>
      <c r="Z27" s="16"/>
      <c r="AA27" s="16"/>
    </row>
    <row r="28" spans="1:27" s="14" customFormat="1" ht="159" customHeight="1" x14ac:dyDescent="0.25">
      <c r="A28" s="327"/>
      <c r="B28" s="295"/>
      <c r="C28" s="115" t="s">
        <v>301</v>
      </c>
      <c r="D28" s="26" t="s">
        <v>123</v>
      </c>
      <c r="E28" s="115" t="s">
        <v>302</v>
      </c>
      <c r="F28" s="115" t="s">
        <v>303</v>
      </c>
      <c r="G28" s="26" t="s">
        <v>331</v>
      </c>
      <c r="H28" s="26" t="s">
        <v>46</v>
      </c>
      <c r="I28" s="113" t="s">
        <v>332</v>
      </c>
      <c r="J28" s="113" t="s">
        <v>304</v>
      </c>
      <c r="K28" s="22" t="s">
        <v>336</v>
      </c>
      <c r="L28" s="9" t="s">
        <v>295</v>
      </c>
      <c r="M28" s="9">
        <v>41205</v>
      </c>
      <c r="N28" s="22" t="s">
        <v>333</v>
      </c>
      <c r="O28" s="22" t="s">
        <v>334</v>
      </c>
      <c r="P28" s="113" t="s">
        <v>296</v>
      </c>
      <c r="Q28" s="26" t="s">
        <v>46</v>
      </c>
      <c r="R28" s="26" t="s">
        <v>46</v>
      </c>
      <c r="S28" s="115" t="s">
        <v>308</v>
      </c>
      <c r="T28" s="115" t="s">
        <v>305</v>
      </c>
      <c r="U28" s="115" t="s">
        <v>306</v>
      </c>
      <c r="V28" s="115" t="s">
        <v>307</v>
      </c>
      <c r="W28" s="115"/>
      <c r="X28" s="121" t="s">
        <v>394</v>
      </c>
      <c r="Y28" s="16"/>
      <c r="Z28" s="16"/>
      <c r="AA28" s="16"/>
    </row>
    <row r="29" spans="1:27" s="14" customFormat="1" ht="16.5" customHeight="1" x14ac:dyDescent="0.25">
      <c r="A29" s="327"/>
      <c r="B29" s="295"/>
      <c r="C29" s="313" t="s">
        <v>109</v>
      </c>
      <c r="D29" s="313"/>
      <c r="E29" s="313"/>
      <c r="F29" s="313"/>
      <c r="G29" s="313"/>
      <c r="H29" s="313"/>
      <c r="I29" s="313"/>
      <c r="J29" s="313"/>
      <c r="K29" s="313"/>
      <c r="L29" s="313"/>
      <c r="M29" s="313"/>
      <c r="N29" s="313"/>
      <c r="O29" s="313"/>
      <c r="P29" s="313"/>
      <c r="Q29" s="313"/>
      <c r="R29" s="313"/>
      <c r="S29" s="313"/>
      <c r="T29" s="313"/>
      <c r="U29" s="313"/>
      <c r="V29" s="313"/>
      <c r="W29" s="313"/>
      <c r="X29" s="317"/>
      <c r="Y29" s="16"/>
      <c r="Z29" s="16"/>
      <c r="AA29" s="16"/>
    </row>
    <row r="30" spans="1:27" s="14" customFormat="1" ht="76.5" x14ac:dyDescent="0.25">
      <c r="A30" s="327"/>
      <c r="B30" s="295"/>
      <c r="C30" s="74" t="s">
        <v>45</v>
      </c>
      <c r="D30" s="75" t="s">
        <v>41</v>
      </c>
      <c r="E30" s="75" t="s">
        <v>48</v>
      </c>
      <c r="F30" s="75" t="s">
        <v>88</v>
      </c>
      <c r="G30" s="77" t="s">
        <v>105</v>
      </c>
      <c r="H30" s="75" t="s">
        <v>189</v>
      </c>
      <c r="I30" s="75" t="s">
        <v>49</v>
      </c>
      <c r="J30" s="75" t="s">
        <v>29</v>
      </c>
      <c r="K30" s="75" t="s">
        <v>30</v>
      </c>
      <c r="L30" s="75" t="s">
        <v>31</v>
      </c>
      <c r="M30" s="75" t="s">
        <v>32</v>
      </c>
      <c r="N30" s="75" t="s">
        <v>33</v>
      </c>
      <c r="O30" s="75" t="s">
        <v>34</v>
      </c>
      <c r="P30" s="75" t="s">
        <v>35</v>
      </c>
      <c r="Q30" s="75" t="s">
        <v>183</v>
      </c>
      <c r="R30" s="75" t="s">
        <v>36</v>
      </c>
      <c r="S30" s="75" t="s">
        <v>37</v>
      </c>
      <c r="T30" s="75" t="s">
        <v>38</v>
      </c>
      <c r="U30" s="75" t="s">
        <v>39</v>
      </c>
      <c r="V30" s="75" t="s">
        <v>40</v>
      </c>
      <c r="W30" s="75" t="s">
        <v>427</v>
      </c>
      <c r="X30" s="196" t="s">
        <v>390</v>
      </c>
      <c r="Y30" s="16"/>
      <c r="Z30" s="16"/>
      <c r="AA30" s="16"/>
    </row>
    <row r="31" spans="1:27" s="14" customFormat="1" ht="159" customHeight="1" x14ac:dyDescent="0.25">
      <c r="A31" s="327"/>
      <c r="B31" s="295"/>
      <c r="C31" s="116" t="s">
        <v>293</v>
      </c>
      <c r="D31" s="115" t="s">
        <v>140</v>
      </c>
      <c r="E31" s="114" t="s">
        <v>87</v>
      </c>
      <c r="F31" s="114" t="s">
        <v>294</v>
      </c>
      <c r="G31" s="114" t="s">
        <v>335</v>
      </c>
      <c r="H31" s="114" t="s">
        <v>46</v>
      </c>
      <c r="I31" s="114" t="s">
        <v>332</v>
      </c>
      <c r="J31" s="114" t="s">
        <v>293</v>
      </c>
      <c r="K31" s="114" t="s">
        <v>336</v>
      </c>
      <c r="L31" s="83" t="s">
        <v>295</v>
      </c>
      <c r="M31" s="83">
        <v>41205</v>
      </c>
      <c r="N31" s="84" t="s">
        <v>333</v>
      </c>
      <c r="O31" s="84" t="s">
        <v>334</v>
      </c>
      <c r="P31" s="114" t="s">
        <v>296</v>
      </c>
      <c r="Q31" s="114" t="s">
        <v>46</v>
      </c>
      <c r="R31" s="114" t="s">
        <v>46</v>
      </c>
      <c r="S31" s="85" t="s">
        <v>297</v>
      </c>
      <c r="T31" s="85" t="s">
        <v>298</v>
      </c>
      <c r="U31" s="85" t="s">
        <v>299</v>
      </c>
      <c r="V31" s="85" t="s">
        <v>300</v>
      </c>
      <c r="W31" s="85"/>
      <c r="X31" s="201" t="s">
        <v>394</v>
      </c>
      <c r="Y31" s="16"/>
      <c r="Z31" s="16"/>
      <c r="AA31" s="16"/>
    </row>
    <row r="32" spans="1:27" ht="16.5" x14ac:dyDescent="0.25">
      <c r="A32" s="197"/>
      <c r="B32" s="188"/>
      <c r="C32" s="188"/>
      <c r="D32" s="189"/>
      <c r="E32" s="190"/>
      <c r="F32" s="190"/>
      <c r="G32" s="190"/>
      <c r="H32" s="190"/>
      <c r="I32" s="190"/>
      <c r="J32" s="190"/>
      <c r="K32" s="190"/>
      <c r="L32" s="190"/>
      <c r="M32" s="190"/>
      <c r="N32" s="190"/>
      <c r="O32" s="190"/>
      <c r="P32" s="190"/>
      <c r="Q32" s="190"/>
      <c r="R32" s="190"/>
      <c r="S32" s="190"/>
      <c r="T32" s="190"/>
      <c r="U32" s="190"/>
      <c r="V32" s="190"/>
      <c r="W32" s="10"/>
      <c r="X32" s="168"/>
    </row>
    <row r="33" spans="1:27" ht="20.25" x14ac:dyDescent="0.25">
      <c r="A33" s="312" t="s">
        <v>81</v>
      </c>
      <c r="B33" s="313"/>
      <c r="C33" s="313"/>
      <c r="D33" s="313"/>
      <c r="E33" s="313"/>
      <c r="F33" s="313"/>
      <c r="G33" s="313"/>
      <c r="H33" s="313"/>
      <c r="I33" s="313"/>
      <c r="J33" s="313"/>
      <c r="K33" s="313"/>
      <c r="L33" s="313"/>
      <c r="M33" s="313"/>
      <c r="N33" s="313"/>
      <c r="O33" s="313"/>
      <c r="P33" s="313"/>
      <c r="Q33" s="313"/>
      <c r="R33" s="313"/>
      <c r="S33" s="313"/>
      <c r="T33" s="313"/>
      <c r="U33" s="313"/>
      <c r="V33" s="313"/>
      <c r="W33" s="10"/>
      <c r="X33" s="168"/>
    </row>
    <row r="34" spans="1:27" ht="126.75" customHeight="1" x14ac:dyDescent="0.25">
      <c r="A34" s="321">
        <v>5</v>
      </c>
      <c r="B34" s="310" t="s">
        <v>255</v>
      </c>
      <c r="C34" s="74" t="s">
        <v>45</v>
      </c>
      <c r="D34" s="75" t="s">
        <v>41</v>
      </c>
      <c r="E34" s="75" t="s">
        <v>48</v>
      </c>
      <c r="F34" s="75" t="s">
        <v>47</v>
      </c>
      <c r="G34" s="77" t="s">
        <v>104</v>
      </c>
      <c r="H34" s="75" t="s">
        <v>182</v>
      </c>
      <c r="I34" s="75" t="s">
        <v>49</v>
      </c>
      <c r="J34" s="75" t="s">
        <v>29</v>
      </c>
      <c r="K34" s="75" t="s">
        <v>30</v>
      </c>
      <c r="L34" s="75" t="s">
        <v>31</v>
      </c>
      <c r="M34" s="75" t="s">
        <v>32</v>
      </c>
      <c r="N34" s="75" t="s">
        <v>33</v>
      </c>
      <c r="O34" s="75" t="s">
        <v>34</v>
      </c>
      <c r="P34" s="75" t="s">
        <v>35</v>
      </c>
      <c r="Q34" s="75" t="s">
        <v>183</v>
      </c>
      <c r="R34" s="75" t="s">
        <v>36</v>
      </c>
      <c r="S34" s="75" t="s">
        <v>37</v>
      </c>
      <c r="T34" s="75" t="s">
        <v>38</v>
      </c>
      <c r="U34" s="75" t="s">
        <v>39</v>
      </c>
      <c r="V34" s="75" t="s">
        <v>40</v>
      </c>
      <c r="W34" s="75" t="s">
        <v>427</v>
      </c>
      <c r="X34" s="196" t="s">
        <v>390</v>
      </c>
    </row>
    <row r="35" spans="1:27" ht="16.5" customHeight="1" x14ac:dyDescent="0.25">
      <c r="A35" s="321"/>
      <c r="B35" s="310"/>
      <c r="C35" s="310" t="s">
        <v>134</v>
      </c>
      <c r="D35" s="310" t="s">
        <v>135</v>
      </c>
      <c r="E35" s="310" t="s">
        <v>434</v>
      </c>
      <c r="F35" s="310" t="s">
        <v>217</v>
      </c>
      <c r="G35" s="314" t="s">
        <v>81</v>
      </c>
      <c r="H35" s="314" t="s">
        <v>46</v>
      </c>
      <c r="I35" s="314" t="s">
        <v>218</v>
      </c>
      <c r="J35" s="309" t="s">
        <v>134</v>
      </c>
      <c r="K35" s="314" t="s">
        <v>219</v>
      </c>
      <c r="L35" s="319">
        <v>40249</v>
      </c>
      <c r="M35" s="319">
        <v>41527</v>
      </c>
      <c r="N35" s="324">
        <v>4824892904</v>
      </c>
      <c r="O35" s="314" t="s">
        <v>142</v>
      </c>
      <c r="P35" s="314">
        <v>1314.11</v>
      </c>
      <c r="Q35" s="309" t="s">
        <v>46</v>
      </c>
      <c r="R35" s="309" t="s">
        <v>46</v>
      </c>
      <c r="S35" s="309" t="s">
        <v>136</v>
      </c>
      <c r="T35" s="309" t="s">
        <v>137</v>
      </c>
      <c r="U35" s="309" t="s">
        <v>139</v>
      </c>
      <c r="V35" s="309" t="s">
        <v>220</v>
      </c>
      <c r="W35" s="258"/>
      <c r="X35" s="318" t="s">
        <v>394</v>
      </c>
    </row>
    <row r="36" spans="1:27" ht="16.5" customHeight="1" x14ac:dyDescent="0.25">
      <c r="A36" s="321"/>
      <c r="B36" s="310"/>
      <c r="C36" s="310"/>
      <c r="D36" s="310"/>
      <c r="E36" s="310"/>
      <c r="F36" s="310"/>
      <c r="G36" s="314"/>
      <c r="H36" s="314"/>
      <c r="I36" s="314"/>
      <c r="J36" s="309"/>
      <c r="K36" s="314"/>
      <c r="L36" s="319"/>
      <c r="M36" s="319"/>
      <c r="N36" s="324"/>
      <c r="O36" s="314"/>
      <c r="P36" s="314"/>
      <c r="Q36" s="309"/>
      <c r="R36" s="309"/>
      <c r="S36" s="309"/>
      <c r="T36" s="309"/>
      <c r="U36" s="309"/>
      <c r="V36" s="309"/>
      <c r="W36" s="258"/>
      <c r="X36" s="318"/>
    </row>
    <row r="37" spans="1:27" ht="16.5" customHeight="1" x14ac:dyDescent="0.25">
      <c r="A37" s="321"/>
      <c r="B37" s="310"/>
      <c r="C37" s="310"/>
      <c r="D37" s="310"/>
      <c r="E37" s="310"/>
      <c r="F37" s="310"/>
      <c r="G37" s="314"/>
      <c r="H37" s="314"/>
      <c r="I37" s="314"/>
      <c r="J37" s="309"/>
      <c r="K37" s="314"/>
      <c r="L37" s="319"/>
      <c r="M37" s="319"/>
      <c r="N37" s="324"/>
      <c r="O37" s="314"/>
      <c r="P37" s="314"/>
      <c r="Q37" s="309"/>
      <c r="R37" s="309"/>
      <c r="S37" s="309"/>
      <c r="T37" s="309"/>
      <c r="U37" s="309"/>
      <c r="V37" s="309"/>
      <c r="W37" s="258"/>
      <c r="X37" s="318"/>
    </row>
    <row r="38" spans="1:27" ht="16.5" customHeight="1" x14ac:dyDescent="0.25">
      <c r="A38" s="321"/>
      <c r="B38" s="310"/>
      <c r="C38" s="310"/>
      <c r="D38" s="310"/>
      <c r="E38" s="310"/>
      <c r="F38" s="310"/>
      <c r="G38" s="314"/>
      <c r="H38" s="314"/>
      <c r="I38" s="314"/>
      <c r="J38" s="309"/>
      <c r="K38" s="314"/>
      <c r="L38" s="319"/>
      <c r="M38" s="319"/>
      <c r="N38" s="324"/>
      <c r="O38" s="314"/>
      <c r="P38" s="314"/>
      <c r="Q38" s="309"/>
      <c r="R38" s="309"/>
      <c r="S38" s="309"/>
      <c r="T38" s="309"/>
      <c r="U38" s="309"/>
      <c r="V38" s="309"/>
      <c r="W38" s="258"/>
      <c r="X38" s="318"/>
    </row>
    <row r="39" spans="1:27" s="14" customFormat="1" ht="50.25" customHeight="1" x14ac:dyDescent="0.25">
      <c r="A39" s="321"/>
      <c r="B39" s="310"/>
      <c r="C39" s="310"/>
      <c r="D39" s="310"/>
      <c r="E39" s="310"/>
      <c r="F39" s="310"/>
      <c r="G39" s="314"/>
      <c r="H39" s="314"/>
      <c r="I39" s="314"/>
      <c r="J39" s="309"/>
      <c r="K39" s="314"/>
      <c r="L39" s="319"/>
      <c r="M39" s="319"/>
      <c r="N39" s="324"/>
      <c r="O39" s="314"/>
      <c r="P39" s="314"/>
      <c r="Q39" s="309"/>
      <c r="R39" s="309"/>
      <c r="S39" s="309"/>
      <c r="T39" s="309"/>
      <c r="U39" s="309"/>
      <c r="V39" s="309"/>
      <c r="W39" s="258"/>
      <c r="X39" s="318"/>
      <c r="Y39" s="16"/>
      <c r="Z39" s="16"/>
      <c r="AA39" s="16"/>
    </row>
    <row r="40" spans="1:27" s="14" customFormat="1" ht="75" customHeight="1" x14ac:dyDescent="0.25">
      <c r="A40" s="321"/>
      <c r="B40" s="310"/>
      <c r="C40" s="310"/>
      <c r="D40" s="310"/>
      <c r="E40" s="310"/>
      <c r="F40" s="310"/>
      <c r="G40" s="117" t="s">
        <v>81</v>
      </c>
      <c r="H40" s="117" t="s">
        <v>46</v>
      </c>
      <c r="I40" s="117" t="s">
        <v>435</v>
      </c>
      <c r="J40" s="8" t="s">
        <v>134</v>
      </c>
      <c r="K40" s="117" t="s">
        <v>436</v>
      </c>
      <c r="L40" s="118">
        <v>40973</v>
      </c>
      <c r="M40" s="118">
        <v>41090</v>
      </c>
      <c r="N40" s="119">
        <v>175742468</v>
      </c>
      <c r="O40" s="117" t="s">
        <v>437</v>
      </c>
      <c r="P40" s="117">
        <v>2285</v>
      </c>
      <c r="Q40" s="309"/>
      <c r="R40" s="309"/>
      <c r="S40" s="309"/>
      <c r="T40" s="309"/>
      <c r="U40" s="309"/>
      <c r="V40" s="309"/>
      <c r="W40" s="36" t="s">
        <v>520</v>
      </c>
      <c r="X40" s="318"/>
      <c r="Y40" s="16"/>
      <c r="Z40" s="16"/>
      <c r="AA40" s="16"/>
    </row>
    <row r="41" spans="1:27" s="14" customFormat="1" ht="20.25" x14ac:dyDescent="0.25">
      <c r="A41" s="321"/>
      <c r="B41" s="310"/>
      <c r="C41" s="313" t="s">
        <v>109</v>
      </c>
      <c r="D41" s="313"/>
      <c r="E41" s="313"/>
      <c r="F41" s="313"/>
      <c r="G41" s="313"/>
      <c r="H41" s="313"/>
      <c r="I41" s="313"/>
      <c r="J41" s="313"/>
      <c r="K41" s="313"/>
      <c r="L41" s="313"/>
      <c r="M41" s="313"/>
      <c r="N41" s="313"/>
      <c r="O41" s="313"/>
      <c r="P41" s="313"/>
      <c r="Q41" s="313"/>
      <c r="R41" s="313"/>
      <c r="S41" s="313"/>
      <c r="T41" s="313"/>
      <c r="U41" s="313"/>
      <c r="V41" s="313"/>
      <c r="W41" s="313"/>
      <c r="X41" s="317"/>
      <c r="Y41" s="16"/>
      <c r="Z41" s="16"/>
      <c r="AA41" s="16"/>
    </row>
    <row r="42" spans="1:27" s="14" customFormat="1" ht="76.5" x14ac:dyDescent="0.25">
      <c r="A42" s="321"/>
      <c r="B42" s="310"/>
      <c r="C42" s="74" t="s">
        <v>45</v>
      </c>
      <c r="D42" s="75" t="s">
        <v>41</v>
      </c>
      <c r="E42" s="75" t="s">
        <v>48</v>
      </c>
      <c r="F42" s="75" t="s">
        <v>88</v>
      </c>
      <c r="G42" s="77" t="s">
        <v>105</v>
      </c>
      <c r="H42" s="75" t="s">
        <v>189</v>
      </c>
      <c r="I42" s="75" t="s">
        <v>49</v>
      </c>
      <c r="J42" s="75" t="s">
        <v>29</v>
      </c>
      <c r="K42" s="75" t="s">
        <v>30</v>
      </c>
      <c r="L42" s="75" t="s">
        <v>31</v>
      </c>
      <c r="M42" s="75" t="s">
        <v>32</v>
      </c>
      <c r="N42" s="75" t="s">
        <v>33</v>
      </c>
      <c r="O42" s="75" t="s">
        <v>34</v>
      </c>
      <c r="P42" s="75" t="s">
        <v>35</v>
      </c>
      <c r="Q42" s="75" t="s">
        <v>183</v>
      </c>
      <c r="R42" s="75" t="s">
        <v>36</v>
      </c>
      <c r="S42" s="75" t="s">
        <v>37</v>
      </c>
      <c r="T42" s="75" t="s">
        <v>38</v>
      </c>
      <c r="U42" s="75" t="s">
        <v>39</v>
      </c>
      <c r="V42" s="75" t="s">
        <v>40</v>
      </c>
      <c r="W42" s="75" t="s">
        <v>427</v>
      </c>
      <c r="X42" s="196" t="s">
        <v>390</v>
      </c>
      <c r="Y42" s="16"/>
      <c r="Z42" s="16"/>
      <c r="AA42" s="16"/>
    </row>
    <row r="43" spans="1:27" ht="91.5" customHeight="1" x14ac:dyDescent="0.25">
      <c r="A43" s="321"/>
      <c r="B43" s="310"/>
      <c r="C43" s="117" t="s">
        <v>141</v>
      </c>
      <c r="D43" s="117" t="s">
        <v>140</v>
      </c>
      <c r="E43" s="81" t="s">
        <v>87</v>
      </c>
      <c r="F43" s="81" t="s">
        <v>221</v>
      </c>
      <c r="G43" s="12" t="s">
        <v>222</v>
      </c>
      <c r="H43" s="117" t="s">
        <v>46</v>
      </c>
      <c r="I43" s="81" t="s">
        <v>223</v>
      </c>
      <c r="J43" s="81" t="s">
        <v>141</v>
      </c>
      <c r="K43" s="81" t="s">
        <v>222</v>
      </c>
      <c r="L43" s="82">
        <v>41365</v>
      </c>
      <c r="M43" s="82">
        <v>42491</v>
      </c>
      <c r="N43" s="119">
        <v>2428925361</v>
      </c>
      <c r="O43" s="117" t="s">
        <v>142</v>
      </c>
      <c r="P43" s="86">
        <v>224988</v>
      </c>
      <c r="Q43" s="81" t="s">
        <v>46</v>
      </c>
      <c r="R43" s="81" t="s">
        <v>46</v>
      </c>
      <c r="S43" s="81" t="s">
        <v>143</v>
      </c>
      <c r="T43" s="8" t="s">
        <v>144</v>
      </c>
      <c r="U43" s="81" t="s">
        <v>145</v>
      </c>
      <c r="V43" s="81" t="s">
        <v>224</v>
      </c>
      <c r="W43" s="10"/>
      <c r="X43" s="202" t="s">
        <v>394</v>
      </c>
      <c r="Y43" s="16"/>
      <c r="Z43" s="16"/>
      <c r="AA43" s="16"/>
    </row>
    <row r="44" spans="1:27" ht="17.25" customHeight="1" x14ac:dyDescent="0.25">
      <c r="A44" s="197"/>
      <c r="B44" s="188"/>
      <c r="C44" s="188"/>
      <c r="D44" s="189"/>
      <c r="E44" s="190"/>
      <c r="F44" s="190"/>
      <c r="G44" s="190"/>
      <c r="H44" s="190"/>
      <c r="I44" s="190"/>
      <c r="J44" s="190"/>
      <c r="K44" s="190"/>
      <c r="L44" s="190"/>
      <c r="M44" s="190"/>
      <c r="N44" s="190"/>
      <c r="O44" s="190"/>
      <c r="P44" s="190"/>
      <c r="Q44" s="190"/>
      <c r="R44" s="190"/>
      <c r="S44" s="190"/>
      <c r="T44" s="190"/>
      <c r="U44" s="190"/>
      <c r="V44" s="190"/>
      <c r="W44" s="190"/>
      <c r="X44" s="203"/>
    </row>
    <row r="45" spans="1:27" ht="17.25" customHeight="1" x14ac:dyDescent="0.25">
      <c r="A45" s="312" t="s">
        <v>81</v>
      </c>
      <c r="B45" s="313"/>
      <c r="C45" s="313"/>
      <c r="D45" s="313"/>
      <c r="E45" s="313"/>
      <c r="F45" s="313"/>
      <c r="G45" s="313"/>
      <c r="H45" s="313"/>
      <c r="I45" s="313"/>
      <c r="J45" s="313"/>
      <c r="K45" s="313"/>
      <c r="L45" s="313"/>
      <c r="M45" s="313"/>
      <c r="N45" s="313"/>
      <c r="O45" s="313"/>
      <c r="P45" s="313"/>
      <c r="Q45" s="313"/>
      <c r="R45" s="313"/>
      <c r="S45" s="313"/>
      <c r="T45" s="313"/>
      <c r="U45" s="313"/>
      <c r="V45" s="313"/>
      <c r="W45" s="313"/>
      <c r="X45" s="317"/>
    </row>
    <row r="46" spans="1:27" ht="102" x14ac:dyDescent="0.25">
      <c r="A46" s="311">
        <v>6</v>
      </c>
      <c r="B46" s="295" t="s">
        <v>69</v>
      </c>
      <c r="C46" s="74" t="s">
        <v>45</v>
      </c>
      <c r="D46" s="75" t="s">
        <v>41</v>
      </c>
      <c r="E46" s="75" t="s">
        <v>48</v>
      </c>
      <c r="F46" s="75" t="s">
        <v>47</v>
      </c>
      <c r="G46" s="77" t="s">
        <v>104</v>
      </c>
      <c r="H46" s="75" t="s">
        <v>182</v>
      </c>
      <c r="I46" s="75" t="s">
        <v>49</v>
      </c>
      <c r="J46" s="75" t="s">
        <v>29</v>
      </c>
      <c r="K46" s="75" t="s">
        <v>30</v>
      </c>
      <c r="L46" s="75" t="s">
        <v>31</v>
      </c>
      <c r="M46" s="75" t="s">
        <v>32</v>
      </c>
      <c r="N46" s="75" t="s">
        <v>33</v>
      </c>
      <c r="O46" s="75" t="s">
        <v>34</v>
      </c>
      <c r="P46" s="75" t="s">
        <v>35</v>
      </c>
      <c r="Q46" s="75" t="s">
        <v>183</v>
      </c>
      <c r="R46" s="75" t="s">
        <v>36</v>
      </c>
      <c r="S46" s="75" t="s">
        <v>37</v>
      </c>
      <c r="T46" s="75" t="s">
        <v>38</v>
      </c>
      <c r="U46" s="75" t="s">
        <v>39</v>
      </c>
      <c r="V46" s="75" t="s">
        <v>40</v>
      </c>
      <c r="W46" s="75" t="s">
        <v>427</v>
      </c>
      <c r="X46" s="196" t="s">
        <v>390</v>
      </c>
    </row>
    <row r="47" spans="1:27" ht="109.5" customHeight="1" x14ac:dyDescent="0.25">
      <c r="A47" s="311"/>
      <c r="B47" s="295"/>
      <c r="C47" s="295" t="s">
        <v>357</v>
      </c>
      <c r="D47" s="320" t="s">
        <v>140</v>
      </c>
      <c r="E47" s="315" t="s">
        <v>358</v>
      </c>
      <c r="F47" s="315" t="s">
        <v>265</v>
      </c>
      <c r="G47" s="315" t="s">
        <v>515</v>
      </c>
      <c r="H47" s="315" t="s">
        <v>46</v>
      </c>
      <c r="I47" s="81" t="s">
        <v>512</v>
      </c>
      <c r="J47" s="315" t="s">
        <v>357</v>
      </c>
      <c r="K47" s="81" t="s">
        <v>513</v>
      </c>
      <c r="L47" s="9">
        <v>43192</v>
      </c>
      <c r="M47" s="9">
        <v>43854</v>
      </c>
      <c r="N47" s="90">
        <v>910288495.61000001</v>
      </c>
      <c r="O47" s="91" t="s">
        <v>517</v>
      </c>
      <c r="P47" s="89" t="s">
        <v>514</v>
      </c>
      <c r="Q47" s="315" t="s">
        <v>46</v>
      </c>
      <c r="R47" s="315" t="s">
        <v>46</v>
      </c>
      <c r="S47" s="315" t="s">
        <v>308</v>
      </c>
      <c r="T47" s="315" t="s">
        <v>305</v>
      </c>
      <c r="U47" s="315" t="s">
        <v>306</v>
      </c>
      <c r="V47" s="315" t="s">
        <v>307</v>
      </c>
      <c r="W47" s="75"/>
      <c r="X47" s="318" t="s">
        <v>394</v>
      </c>
    </row>
    <row r="48" spans="1:27" ht="109.5" customHeight="1" x14ac:dyDescent="0.25">
      <c r="A48" s="311"/>
      <c r="B48" s="295"/>
      <c r="C48" s="295"/>
      <c r="D48" s="320"/>
      <c r="E48" s="315"/>
      <c r="F48" s="315"/>
      <c r="G48" s="315"/>
      <c r="H48" s="315"/>
      <c r="I48" s="81" t="s">
        <v>512</v>
      </c>
      <c r="J48" s="315"/>
      <c r="K48" s="81" t="s">
        <v>516</v>
      </c>
      <c r="L48" s="9">
        <v>43609</v>
      </c>
      <c r="M48" s="9">
        <v>43809</v>
      </c>
      <c r="N48" s="90">
        <v>256000500</v>
      </c>
      <c r="O48" s="91" t="s">
        <v>517</v>
      </c>
      <c r="P48" s="91">
        <v>2105.9299999999998</v>
      </c>
      <c r="Q48" s="315"/>
      <c r="R48" s="315"/>
      <c r="S48" s="315"/>
      <c r="T48" s="315"/>
      <c r="U48" s="315"/>
      <c r="V48" s="315"/>
      <c r="W48" s="75"/>
      <c r="X48" s="318"/>
    </row>
    <row r="49" spans="1:24" ht="115.5" x14ac:dyDescent="0.25">
      <c r="A49" s="311"/>
      <c r="B49" s="295"/>
      <c r="C49" s="295"/>
      <c r="D49" s="320"/>
      <c r="E49" s="315"/>
      <c r="F49" s="315"/>
      <c r="G49" s="315"/>
      <c r="H49" s="315"/>
      <c r="I49" s="114" t="s">
        <v>508</v>
      </c>
      <c r="J49" s="315"/>
      <c r="K49" s="114" t="s">
        <v>509</v>
      </c>
      <c r="L49" s="9">
        <v>42229</v>
      </c>
      <c r="M49" s="9">
        <v>42628</v>
      </c>
      <c r="N49" s="114" t="s">
        <v>510</v>
      </c>
      <c r="O49" s="114" t="s">
        <v>359</v>
      </c>
      <c r="P49" s="114" t="s">
        <v>511</v>
      </c>
      <c r="Q49" s="315"/>
      <c r="R49" s="315"/>
      <c r="S49" s="315"/>
      <c r="T49" s="315"/>
      <c r="U49" s="315"/>
      <c r="V49" s="315"/>
      <c r="W49" s="10"/>
      <c r="X49" s="318"/>
    </row>
    <row r="50" spans="1:24" ht="20.25" x14ac:dyDescent="0.25">
      <c r="A50" s="311"/>
      <c r="B50" s="295"/>
      <c r="C50" s="313" t="s">
        <v>109</v>
      </c>
      <c r="D50" s="313"/>
      <c r="E50" s="313"/>
      <c r="F50" s="313"/>
      <c r="G50" s="313"/>
      <c r="H50" s="313"/>
      <c r="I50" s="313"/>
      <c r="J50" s="313"/>
      <c r="K50" s="313"/>
      <c r="L50" s="313"/>
      <c r="M50" s="313"/>
      <c r="N50" s="313"/>
      <c r="O50" s="313"/>
      <c r="P50" s="313"/>
      <c r="Q50" s="313"/>
      <c r="R50" s="313"/>
      <c r="S50" s="313"/>
      <c r="T50" s="313"/>
      <c r="U50" s="313"/>
      <c r="V50" s="313"/>
      <c r="W50" s="313"/>
      <c r="X50" s="317"/>
    </row>
    <row r="51" spans="1:24" ht="76.5" x14ac:dyDescent="0.25">
      <c r="A51" s="311"/>
      <c r="B51" s="295"/>
      <c r="C51" s="74" t="s">
        <v>45</v>
      </c>
      <c r="D51" s="75" t="s">
        <v>41</v>
      </c>
      <c r="E51" s="75" t="s">
        <v>48</v>
      </c>
      <c r="F51" s="75" t="s">
        <v>88</v>
      </c>
      <c r="G51" s="77" t="s">
        <v>105</v>
      </c>
      <c r="H51" s="75" t="s">
        <v>189</v>
      </c>
      <c r="I51" s="75" t="s">
        <v>49</v>
      </c>
      <c r="J51" s="75" t="s">
        <v>29</v>
      </c>
      <c r="K51" s="75" t="s">
        <v>30</v>
      </c>
      <c r="L51" s="75" t="s">
        <v>31</v>
      </c>
      <c r="M51" s="75" t="s">
        <v>32</v>
      </c>
      <c r="N51" s="75" t="s">
        <v>33</v>
      </c>
      <c r="O51" s="75" t="s">
        <v>34</v>
      </c>
      <c r="P51" s="75" t="s">
        <v>35</v>
      </c>
      <c r="Q51" s="75" t="s">
        <v>183</v>
      </c>
      <c r="R51" s="75" t="s">
        <v>36</v>
      </c>
      <c r="S51" s="75" t="s">
        <v>37</v>
      </c>
      <c r="T51" s="75" t="s">
        <v>38</v>
      </c>
      <c r="U51" s="75" t="s">
        <v>39</v>
      </c>
      <c r="V51" s="75" t="s">
        <v>40</v>
      </c>
      <c r="W51" s="75" t="s">
        <v>427</v>
      </c>
      <c r="X51" s="196" t="s">
        <v>390</v>
      </c>
    </row>
    <row r="52" spans="1:24" ht="246.75" customHeight="1" x14ac:dyDescent="0.25">
      <c r="A52" s="311"/>
      <c r="B52" s="295"/>
      <c r="C52" s="295" t="s">
        <v>360</v>
      </c>
      <c r="D52" s="320" t="s">
        <v>361</v>
      </c>
      <c r="E52" s="315" t="s">
        <v>87</v>
      </c>
      <c r="F52" s="315" t="s">
        <v>362</v>
      </c>
      <c r="G52" s="114" t="s">
        <v>363</v>
      </c>
      <c r="H52" s="114" t="s">
        <v>46</v>
      </c>
      <c r="I52" s="114" t="s">
        <v>365</v>
      </c>
      <c r="J52" s="114" t="s">
        <v>360</v>
      </c>
      <c r="K52" s="114" t="s">
        <v>367</v>
      </c>
      <c r="L52" s="9">
        <v>37147</v>
      </c>
      <c r="M52" s="9">
        <v>37433</v>
      </c>
      <c r="N52" s="119">
        <v>788058150</v>
      </c>
      <c r="O52" s="84" t="s">
        <v>370</v>
      </c>
      <c r="P52" s="113">
        <v>6875.32</v>
      </c>
      <c r="Q52" s="315" t="s">
        <v>46</v>
      </c>
      <c r="R52" s="315" t="s">
        <v>46</v>
      </c>
      <c r="S52" s="315" t="s">
        <v>372</v>
      </c>
      <c r="T52" s="315" t="s">
        <v>373</v>
      </c>
      <c r="U52" s="315" t="s">
        <v>374</v>
      </c>
      <c r="V52" s="315" t="s">
        <v>375</v>
      </c>
      <c r="W52" s="62" t="s">
        <v>518</v>
      </c>
      <c r="X52" s="316" t="s">
        <v>478</v>
      </c>
    </row>
    <row r="53" spans="1:24" ht="132" x14ac:dyDescent="0.25">
      <c r="A53" s="311"/>
      <c r="B53" s="295"/>
      <c r="C53" s="295"/>
      <c r="D53" s="320"/>
      <c r="E53" s="315"/>
      <c r="F53" s="315"/>
      <c r="G53" s="114" t="s">
        <v>426</v>
      </c>
      <c r="H53" s="114" t="s">
        <v>364</v>
      </c>
      <c r="I53" s="114" t="s">
        <v>366</v>
      </c>
      <c r="J53" s="114" t="s">
        <v>360</v>
      </c>
      <c r="K53" s="114" t="s">
        <v>368</v>
      </c>
      <c r="L53" s="9">
        <v>37673</v>
      </c>
      <c r="M53" s="9">
        <v>37852</v>
      </c>
      <c r="N53" s="113" t="s">
        <v>369</v>
      </c>
      <c r="O53" s="22" t="s">
        <v>371</v>
      </c>
      <c r="P53" s="113">
        <v>675.21</v>
      </c>
      <c r="Q53" s="315"/>
      <c r="R53" s="315"/>
      <c r="S53" s="315"/>
      <c r="T53" s="315"/>
      <c r="U53" s="315"/>
      <c r="V53" s="315"/>
      <c r="W53" s="36" t="s">
        <v>519</v>
      </c>
      <c r="X53" s="316"/>
    </row>
    <row r="54" spans="1:24" ht="16.5" x14ac:dyDescent="0.25">
      <c r="A54" s="197"/>
      <c r="B54" s="188"/>
      <c r="C54" s="188"/>
      <c r="D54" s="189"/>
      <c r="E54" s="190"/>
      <c r="F54" s="190"/>
      <c r="G54" s="190"/>
      <c r="H54" s="190"/>
      <c r="I54" s="190"/>
      <c r="J54" s="190"/>
      <c r="K54" s="190"/>
      <c r="L54" s="190"/>
      <c r="M54" s="190"/>
      <c r="N54" s="190"/>
      <c r="O54" s="190"/>
      <c r="P54" s="190"/>
      <c r="Q54" s="190"/>
      <c r="R54" s="190"/>
      <c r="S54" s="190"/>
      <c r="T54" s="190"/>
      <c r="U54" s="190"/>
      <c r="V54" s="190"/>
      <c r="W54" s="10"/>
      <c r="X54" s="168"/>
    </row>
    <row r="55" spans="1:24" ht="20.25" x14ac:dyDescent="0.25">
      <c r="A55" s="312" t="s">
        <v>81</v>
      </c>
      <c r="B55" s="313"/>
      <c r="C55" s="313"/>
      <c r="D55" s="313"/>
      <c r="E55" s="313"/>
      <c r="F55" s="313"/>
      <c r="G55" s="313"/>
      <c r="H55" s="313"/>
      <c r="I55" s="313"/>
      <c r="J55" s="313"/>
      <c r="K55" s="313"/>
      <c r="L55" s="313"/>
      <c r="M55" s="313"/>
      <c r="N55" s="313"/>
      <c r="O55" s="313"/>
      <c r="P55" s="313"/>
      <c r="Q55" s="313"/>
      <c r="R55" s="313"/>
      <c r="S55" s="313"/>
      <c r="T55" s="313"/>
      <c r="U55" s="313"/>
      <c r="V55" s="313"/>
      <c r="W55" s="313"/>
      <c r="X55" s="317"/>
    </row>
    <row r="56" spans="1:24" ht="102" x14ac:dyDescent="0.25">
      <c r="A56" s="321">
        <v>7</v>
      </c>
      <c r="B56" s="310" t="s">
        <v>70</v>
      </c>
      <c r="C56" s="74" t="s">
        <v>45</v>
      </c>
      <c r="D56" s="75" t="s">
        <v>41</v>
      </c>
      <c r="E56" s="75" t="s">
        <v>48</v>
      </c>
      <c r="F56" s="75" t="s">
        <v>47</v>
      </c>
      <c r="G56" s="77" t="s">
        <v>104</v>
      </c>
      <c r="H56" s="75" t="s">
        <v>182</v>
      </c>
      <c r="I56" s="75" t="s">
        <v>49</v>
      </c>
      <c r="J56" s="75" t="s">
        <v>29</v>
      </c>
      <c r="K56" s="75" t="s">
        <v>30</v>
      </c>
      <c r="L56" s="75" t="s">
        <v>31</v>
      </c>
      <c r="M56" s="75" t="s">
        <v>32</v>
      </c>
      <c r="N56" s="75" t="s">
        <v>33</v>
      </c>
      <c r="O56" s="75" t="s">
        <v>34</v>
      </c>
      <c r="P56" s="75" t="s">
        <v>35</v>
      </c>
      <c r="Q56" s="75" t="s">
        <v>183</v>
      </c>
      <c r="R56" s="75" t="s">
        <v>36</v>
      </c>
      <c r="S56" s="75" t="s">
        <v>37</v>
      </c>
      <c r="T56" s="75" t="s">
        <v>38</v>
      </c>
      <c r="U56" s="75" t="s">
        <v>39</v>
      </c>
      <c r="V56" s="75" t="s">
        <v>40</v>
      </c>
      <c r="W56" s="75" t="s">
        <v>427</v>
      </c>
      <c r="X56" s="196" t="s">
        <v>390</v>
      </c>
    </row>
    <row r="57" spans="1:24" ht="16.5" customHeight="1" x14ac:dyDescent="0.25">
      <c r="A57" s="321"/>
      <c r="B57" s="310"/>
      <c r="C57" s="310" t="s">
        <v>160</v>
      </c>
      <c r="D57" s="310" t="s">
        <v>140</v>
      </c>
      <c r="E57" s="310" t="s">
        <v>438</v>
      </c>
      <c r="F57" s="310" t="s">
        <v>225</v>
      </c>
      <c r="G57" s="314" t="s">
        <v>251</v>
      </c>
      <c r="H57" s="314" t="s">
        <v>46</v>
      </c>
      <c r="I57" s="314" t="s">
        <v>226</v>
      </c>
      <c r="J57" s="309" t="s">
        <v>160</v>
      </c>
      <c r="K57" s="314" t="s">
        <v>252</v>
      </c>
      <c r="L57" s="319">
        <v>42592</v>
      </c>
      <c r="M57" s="319">
        <v>42978</v>
      </c>
      <c r="N57" s="324" t="s">
        <v>161</v>
      </c>
      <c r="O57" s="314" t="s">
        <v>227</v>
      </c>
      <c r="P57" s="314">
        <v>8940.9500000000007</v>
      </c>
      <c r="Q57" s="309" t="s">
        <v>46</v>
      </c>
      <c r="R57" s="309" t="s">
        <v>46</v>
      </c>
      <c r="S57" s="309" t="s">
        <v>162</v>
      </c>
      <c r="T57" s="309" t="s">
        <v>163</v>
      </c>
      <c r="U57" s="309" t="s">
        <v>164</v>
      </c>
      <c r="V57" s="309" t="s">
        <v>181</v>
      </c>
      <c r="W57" s="258"/>
      <c r="X57" s="316" t="s">
        <v>394</v>
      </c>
    </row>
    <row r="58" spans="1:24" ht="16.5" customHeight="1" x14ac:dyDescent="0.25">
      <c r="A58" s="321"/>
      <c r="B58" s="310"/>
      <c r="C58" s="310"/>
      <c r="D58" s="310"/>
      <c r="E58" s="310"/>
      <c r="F58" s="310"/>
      <c r="G58" s="314"/>
      <c r="H58" s="314"/>
      <c r="I58" s="314"/>
      <c r="J58" s="309"/>
      <c r="K58" s="314"/>
      <c r="L58" s="319"/>
      <c r="M58" s="319"/>
      <c r="N58" s="324"/>
      <c r="O58" s="314"/>
      <c r="P58" s="314"/>
      <c r="Q58" s="309"/>
      <c r="R58" s="309"/>
      <c r="S58" s="309"/>
      <c r="T58" s="309"/>
      <c r="U58" s="309"/>
      <c r="V58" s="309"/>
      <c r="W58" s="258"/>
      <c r="X58" s="316"/>
    </row>
    <row r="59" spans="1:24" ht="97.5" customHeight="1" x14ac:dyDescent="0.25">
      <c r="A59" s="321"/>
      <c r="B59" s="310"/>
      <c r="C59" s="310"/>
      <c r="D59" s="310"/>
      <c r="E59" s="310"/>
      <c r="F59" s="310"/>
      <c r="G59" s="314"/>
      <c r="H59" s="314"/>
      <c r="I59" s="314"/>
      <c r="J59" s="309"/>
      <c r="K59" s="314"/>
      <c r="L59" s="319"/>
      <c r="M59" s="319"/>
      <c r="N59" s="324"/>
      <c r="O59" s="314"/>
      <c r="P59" s="314"/>
      <c r="Q59" s="309"/>
      <c r="R59" s="309"/>
      <c r="S59" s="309"/>
      <c r="T59" s="309"/>
      <c r="U59" s="309"/>
      <c r="V59" s="309"/>
      <c r="W59" s="258"/>
      <c r="X59" s="316"/>
    </row>
    <row r="60" spans="1:24" ht="20.25" x14ac:dyDescent="0.25">
      <c r="A60" s="321"/>
      <c r="B60" s="310"/>
      <c r="C60" s="313" t="s">
        <v>109</v>
      </c>
      <c r="D60" s="313"/>
      <c r="E60" s="313"/>
      <c r="F60" s="313"/>
      <c r="G60" s="313"/>
      <c r="H60" s="313"/>
      <c r="I60" s="313"/>
      <c r="J60" s="313"/>
      <c r="K60" s="313"/>
      <c r="L60" s="313"/>
      <c r="M60" s="313"/>
      <c r="N60" s="313"/>
      <c r="O60" s="313"/>
      <c r="P60" s="313"/>
      <c r="Q60" s="313"/>
      <c r="R60" s="313"/>
      <c r="S60" s="313"/>
      <c r="T60" s="313"/>
      <c r="U60" s="313"/>
      <c r="V60" s="313"/>
      <c r="W60" s="313"/>
      <c r="X60" s="317"/>
    </row>
    <row r="61" spans="1:24" ht="76.5" x14ac:dyDescent="0.25">
      <c r="A61" s="321"/>
      <c r="B61" s="310"/>
      <c r="C61" s="74" t="s">
        <v>45</v>
      </c>
      <c r="D61" s="75" t="s">
        <v>41</v>
      </c>
      <c r="E61" s="75" t="s">
        <v>48</v>
      </c>
      <c r="F61" s="75" t="s">
        <v>88</v>
      </c>
      <c r="G61" s="77" t="s">
        <v>105</v>
      </c>
      <c r="H61" s="75" t="s">
        <v>189</v>
      </c>
      <c r="I61" s="75" t="s">
        <v>49</v>
      </c>
      <c r="J61" s="75" t="s">
        <v>29</v>
      </c>
      <c r="K61" s="75" t="s">
        <v>30</v>
      </c>
      <c r="L61" s="75" t="s">
        <v>31</v>
      </c>
      <c r="M61" s="75" t="s">
        <v>32</v>
      </c>
      <c r="N61" s="75" t="s">
        <v>33</v>
      </c>
      <c r="O61" s="75" t="s">
        <v>34</v>
      </c>
      <c r="P61" s="75" t="s">
        <v>35</v>
      </c>
      <c r="Q61" s="75" t="s">
        <v>183</v>
      </c>
      <c r="R61" s="75" t="s">
        <v>36</v>
      </c>
      <c r="S61" s="75" t="s">
        <v>37</v>
      </c>
      <c r="T61" s="75" t="s">
        <v>38</v>
      </c>
      <c r="U61" s="75" t="s">
        <v>39</v>
      </c>
      <c r="V61" s="75" t="s">
        <v>40</v>
      </c>
      <c r="W61" s="75" t="s">
        <v>427</v>
      </c>
      <c r="X61" s="196" t="s">
        <v>390</v>
      </c>
    </row>
    <row r="62" spans="1:24" ht="135" customHeight="1" thickBot="1" x14ac:dyDescent="0.3">
      <c r="A62" s="322"/>
      <c r="B62" s="323"/>
      <c r="C62" s="204" t="s">
        <v>165</v>
      </c>
      <c r="D62" s="205" t="s">
        <v>123</v>
      </c>
      <c r="E62" s="205" t="s">
        <v>87</v>
      </c>
      <c r="F62" s="204" t="s">
        <v>228</v>
      </c>
      <c r="G62" s="206" t="s">
        <v>251</v>
      </c>
      <c r="H62" s="204" t="s">
        <v>46</v>
      </c>
      <c r="I62" s="204" t="s">
        <v>226</v>
      </c>
      <c r="J62" s="205" t="s">
        <v>165</v>
      </c>
      <c r="K62" s="204" t="s">
        <v>252</v>
      </c>
      <c r="L62" s="207">
        <v>42592</v>
      </c>
      <c r="M62" s="207">
        <v>42978</v>
      </c>
      <c r="N62" s="208" t="s">
        <v>161</v>
      </c>
      <c r="O62" s="205" t="s">
        <v>227</v>
      </c>
      <c r="P62" s="205">
        <v>8940.9500000000007</v>
      </c>
      <c r="Q62" s="205" t="s">
        <v>46</v>
      </c>
      <c r="R62" s="204" t="s">
        <v>46</v>
      </c>
      <c r="S62" s="205" t="s">
        <v>166</v>
      </c>
      <c r="T62" s="209" t="s">
        <v>167</v>
      </c>
      <c r="U62" s="205" t="s">
        <v>168</v>
      </c>
      <c r="V62" s="205" t="s">
        <v>181</v>
      </c>
      <c r="W62" s="187"/>
      <c r="X62" s="210" t="s">
        <v>394</v>
      </c>
    </row>
    <row r="72" spans="4:7" x14ac:dyDescent="0.25">
      <c r="D72" t="s">
        <v>449</v>
      </c>
    </row>
    <row r="75" spans="4:7" x14ac:dyDescent="0.25">
      <c r="D75" s="31" t="s">
        <v>450</v>
      </c>
      <c r="G75" s="31" t="s">
        <v>454</v>
      </c>
    </row>
    <row r="76" spans="4:7" x14ac:dyDescent="0.25">
      <c r="D76" t="s">
        <v>451</v>
      </c>
      <c r="G76" t="s">
        <v>453</v>
      </c>
    </row>
    <row r="80" spans="4:7" x14ac:dyDescent="0.25">
      <c r="D80" s="31" t="s">
        <v>452</v>
      </c>
      <c r="G80" s="31" t="s">
        <v>455</v>
      </c>
    </row>
    <row r="81" spans="4:7" x14ac:dyDescent="0.25">
      <c r="D81" t="s">
        <v>453</v>
      </c>
      <c r="G81" t="s">
        <v>451</v>
      </c>
    </row>
  </sheetData>
  <mergeCells count="134">
    <mergeCell ref="C22:V22"/>
    <mergeCell ref="C26:V26"/>
    <mergeCell ref="C29:V29"/>
    <mergeCell ref="C5:V5"/>
    <mergeCell ref="A2:A3"/>
    <mergeCell ref="B2:B3"/>
    <mergeCell ref="C2:V2"/>
    <mergeCell ref="U19:U21"/>
    <mergeCell ref="V19:V21"/>
    <mergeCell ref="C19:C21"/>
    <mergeCell ref="J19:J21"/>
    <mergeCell ref="Q19:Q21"/>
    <mergeCell ref="D19:D21"/>
    <mergeCell ref="E19:E21"/>
    <mergeCell ref="F19:F21"/>
    <mergeCell ref="R19:R21"/>
    <mergeCell ref="S19:S21"/>
    <mergeCell ref="Q11:Q12"/>
    <mergeCell ref="F11:F12"/>
    <mergeCell ref="D11:D12"/>
    <mergeCell ref="A17:V17"/>
    <mergeCell ref="A1:V1"/>
    <mergeCell ref="B18:B24"/>
    <mergeCell ref="A18:A24"/>
    <mergeCell ref="J35:J39"/>
    <mergeCell ref="A27:A31"/>
    <mergeCell ref="B27:B31"/>
    <mergeCell ref="A34:A43"/>
    <mergeCell ref="B34:B43"/>
    <mergeCell ref="A33:V33"/>
    <mergeCell ref="C41:V41"/>
    <mergeCell ref="B4:B7"/>
    <mergeCell ref="A4:A7"/>
    <mergeCell ref="A9:A15"/>
    <mergeCell ref="B9:B15"/>
    <mergeCell ref="C9:V9"/>
    <mergeCell ref="T11:T12"/>
    <mergeCell ref="U11:U12"/>
    <mergeCell ref="V11:V12"/>
    <mergeCell ref="E11:E12"/>
    <mergeCell ref="C11:C12"/>
    <mergeCell ref="R11:R12"/>
    <mergeCell ref="S11:S12"/>
    <mergeCell ref="T35:T40"/>
    <mergeCell ref="N35:N39"/>
    <mergeCell ref="C60:V60"/>
    <mergeCell ref="T52:T53"/>
    <mergeCell ref="U52:U53"/>
    <mergeCell ref="V52:V53"/>
    <mergeCell ref="F52:F53"/>
    <mergeCell ref="E52:E53"/>
    <mergeCell ref="S52:S53"/>
    <mergeCell ref="D52:D53"/>
    <mergeCell ref="A56:A62"/>
    <mergeCell ref="B56:B62"/>
    <mergeCell ref="C57:C59"/>
    <mergeCell ref="D57:D59"/>
    <mergeCell ref="R52:R53"/>
    <mergeCell ref="I57:I59"/>
    <mergeCell ref="K57:K59"/>
    <mergeCell ref="L57:L59"/>
    <mergeCell ref="M57:M59"/>
    <mergeCell ref="N57:N59"/>
    <mergeCell ref="G57:G59"/>
    <mergeCell ref="J57:J59"/>
    <mergeCell ref="T57:T59"/>
    <mergeCell ref="P57:P59"/>
    <mergeCell ref="Q57:Q59"/>
    <mergeCell ref="R57:R59"/>
    <mergeCell ref="C13:V13"/>
    <mergeCell ref="T19:T21"/>
    <mergeCell ref="C35:C40"/>
    <mergeCell ref="C50:V50"/>
    <mergeCell ref="U35:U40"/>
    <mergeCell ref="K35:K39"/>
    <mergeCell ref="O35:O39"/>
    <mergeCell ref="P35:P39"/>
    <mergeCell ref="G35:G39"/>
    <mergeCell ref="H35:H39"/>
    <mergeCell ref="I35:I39"/>
    <mergeCell ref="L35:L39"/>
    <mergeCell ref="M35:M39"/>
    <mergeCell ref="V47:V49"/>
    <mergeCell ref="H47:H49"/>
    <mergeCell ref="C47:C49"/>
    <mergeCell ref="D47:D49"/>
    <mergeCell ref="E47:E49"/>
    <mergeCell ref="F47:F49"/>
    <mergeCell ref="V35:V40"/>
    <mergeCell ref="E35:E40"/>
    <mergeCell ref="F35:F40"/>
    <mergeCell ref="Q35:Q40"/>
    <mergeCell ref="R35:R40"/>
    <mergeCell ref="X7:X8"/>
    <mergeCell ref="X4:X5"/>
    <mergeCell ref="X11:X12"/>
    <mergeCell ref="W19:W21"/>
    <mergeCell ref="X19:X21"/>
    <mergeCell ref="W60:X60"/>
    <mergeCell ref="W55:X55"/>
    <mergeCell ref="W41:X41"/>
    <mergeCell ref="W45:X45"/>
    <mergeCell ref="W50:X50"/>
    <mergeCell ref="X52:X53"/>
    <mergeCell ref="W57:W59"/>
    <mergeCell ref="X57:X59"/>
    <mergeCell ref="W35:W39"/>
    <mergeCell ref="W29:X29"/>
    <mergeCell ref="X35:X40"/>
    <mergeCell ref="X15:X17"/>
    <mergeCell ref="W11:W12"/>
    <mergeCell ref="X47:X49"/>
    <mergeCell ref="S35:S40"/>
    <mergeCell ref="D35:D40"/>
    <mergeCell ref="F57:F59"/>
    <mergeCell ref="A46:A53"/>
    <mergeCell ref="A55:V55"/>
    <mergeCell ref="S57:S59"/>
    <mergeCell ref="H57:H59"/>
    <mergeCell ref="Q52:Q53"/>
    <mergeCell ref="O57:O59"/>
    <mergeCell ref="E57:E59"/>
    <mergeCell ref="U57:U59"/>
    <mergeCell ref="V57:V59"/>
    <mergeCell ref="B46:B53"/>
    <mergeCell ref="A45:V45"/>
    <mergeCell ref="G47:G49"/>
    <mergeCell ref="J47:J49"/>
    <mergeCell ref="Q47:Q49"/>
    <mergeCell ref="R47:R49"/>
    <mergeCell ref="S47:S49"/>
    <mergeCell ref="T47:T49"/>
    <mergeCell ref="U47:U49"/>
    <mergeCell ref="C52:C53"/>
  </mergeCells>
  <printOptions horizontalCentered="1" verticalCentered="1"/>
  <pageMargins left="0.23622047244094491" right="0.23622047244094491" top="0.15748031496062992" bottom="0.15748031496062992" header="0.31496062992125984" footer="0.11811023622047245"/>
  <pageSetup scale="40" fitToHeight="0" orientation="landscape" r:id="rId1"/>
  <rowBreaks count="3" manualBreakCount="3">
    <brk id="15" max="23" man="1"/>
    <brk id="31" max="23" man="1"/>
    <brk id="53" max="23" man="1"/>
  </rowBreaks>
  <colBreaks count="2" manualBreakCount="2">
    <brk id="10" max="78" man="1"/>
    <brk id="19" max="7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D48"/>
  <sheetViews>
    <sheetView topLeftCell="A29" zoomScale="80" zoomScaleNormal="80" zoomScaleSheetLayoutView="50" workbookViewId="0">
      <selection activeCell="L40" sqref="L40"/>
    </sheetView>
  </sheetViews>
  <sheetFormatPr baseColWidth="10" defaultRowHeight="15" x14ac:dyDescent="0.25"/>
  <cols>
    <col min="1" max="1" width="25.42578125" customWidth="1"/>
    <col min="3" max="3" width="20" customWidth="1"/>
    <col min="4" max="4" width="38.85546875" customWidth="1"/>
    <col min="5" max="5" width="19.7109375" customWidth="1"/>
    <col min="6" max="6" width="22" customWidth="1"/>
    <col min="7" max="7" width="18" customWidth="1"/>
    <col min="8" max="8" width="22" customWidth="1"/>
    <col min="9" max="10" width="26" customWidth="1"/>
    <col min="11" max="11" width="22.28515625" customWidth="1"/>
    <col min="12" max="12" width="27.140625" customWidth="1"/>
    <col min="13" max="13" width="32.42578125" customWidth="1"/>
  </cols>
  <sheetData>
    <row r="1" spans="1:30" ht="31.5" x14ac:dyDescent="0.5">
      <c r="A1" s="335" t="s">
        <v>441</v>
      </c>
      <c r="B1" s="336"/>
      <c r="C1" s="336"/>
      <c r="D1" s="336"/>
      <c r="E1" s="336"/>
      <c r="F1" s="336"/>
      <c r="G1" s="336"/>
      <c r="H1" s="336"/>
      <c r="I1" s="336"/>
      <c r="J1" s="336"/>
      <c r="K1" s="336"/>
      <c r="L1" s="336"/>
      <c r="M1" s="337"/>
    </row>
    <row r="2" spans="1:30" x14ac:dyDescent="0.25">
      <c r="A2" s="338" t="s">
        <v>64</v>
      </c>
      <c r="B2" s="339"/>
      <c r="C2" s="339"/>
      <c r="D2" s="339"/>
      <c r="E2" s="339"/>
      <c r="F2" s="339"/>
      <c r="G2" s="339"/>
      <c r="H2" s="339"/>
      <c r="I2" s="339"/>
      <c r="J2" s="339"/>
      <c r="K2" s="339"/>
      <c r="L2" s="339"/>
      <c r="M2" s="168"/>
    </row>
    <row r="3" spans="1:30" ht="75" x14ac:dyDescent="0.25">
      <c r="A3" s="216" t="s">
        <v>91</v>
      </c>
      <c r="B3" s="212" t="s">
        <v>53</v>
      </c>
      <c r="C3" s="212" t="s">
        <v>93</v>
      </c>
      <c r="D3" s="212" t="s">
        <v>94</v>
      </c>
      <c r="E3" s="212" t="s">
        <v>95</v>
      </c>
      <c r="F3" s="211" t="s">
        <v>18</v>
      </c>
      <c r="G3" s="212" t="s">
        <v>96</v>
      </c>
      <c r="H3" s="212" t="s">
        <v>101</v>
      </c>
      <c r="I3" s="212" t="s">
        <v>97</v>
      </c>
      <c r="J3" s="212" t="s">
        <v>439</v>
      </c>
      <c r="K3" s="212" t="s">
        <v>102</v>
      </c>
      <c r="L3" s="212" t="s">
        <v>51</v>
      </c>
      <c r="M3" s="217" t="s">
        <v>389</v>
      </c>
    </row>
    <row r="4" spans="1:30" ht="60" x14ac:dyDescent="0.25">
      <c r="A4" s="34" t="s">
        <v>230</v>
      </c>
      <c r="B4" s="27">
        <v>15</v>
      </c>
      <c r="C4" s="330">
        <v>4600008162</v>
      </c>
      <c r="D4" s="308" t="s">
        <v>98</v>
      </c>
      <c r="E4" s="308" t="s">
        <v>99</v>
      </c>
      <c r="F4" s="308" t="s">
        <v>100</v>
      </c>
      <c r="G4" s="340">
        <v>0.75</v>
      </c>
      <c r="H4" s="341" t="s">
        <v>103</v>
      </c>
      <c r="I4" s="334">
        <v>16844</v>
      </c>
      <c r="J4" s="334">
        <f>I4*G4</f>
        <v>12633</v>
      </c>
      <c r="K4" s="334">
        <f>I4*G4</f>
        <v>12633</v>
      </c>
      <c r="L4" s="342">
        <v>40</v>
      </c>
      <c r="M4" s="331" t="s">
        <v>440</v>
      </c>
    </row>
    <row r="5" spans="1:30" ht="60" x14ac:dyDescent="0.25">
      <c r="A5" s="34" t="s">
        <v>231</v>
      </c>
      <c r="B5" s="27">
        <v>30</v>
      </c>
      <c r="C5" s="330"/>
      <c r="D5" s="308"/>
      <c r="E5" s="308"/>
      <c r="F5" s="308"/>
      <c r="G5" s="340"/>
      <c r="H5" s="341"/>
      <c r="I5" s="330"/>
      <c r="J5" s="334"/>
      <c r="K5" s="334"/>
      <c r="L5" s="342"/>
      <c r="M5" s="331"/>
      <c r="O5" s="49"/>
      <c r="P5" s="49"/>
      <c r="Q5" s="49"/>
      <c r="R5" s="49"/>
      <c r="S5" s="49"/>
      <c r="T5" s="49"/>
      <c r="U5" s="49"/>
      <c r="V5" s="49"/>
      <c r="W5" s="49"/>
      <c r="X5" s="49"/>
      <c r="Y5" s="49"/>
      <c r="Z5" s="49"/>
      <c r="AA5" s="49"/>
      <c r="AB5" s="49"/>
      <c r="AC5" s="49"/>
      <c r="AD5" s="49"/>
    </row>
    <row r="6" spans="1:30" x14ac:dyDescent="0.25">
      <c r="A6" s="34" t="s">
        <v>92</v>
      </c>
      <c r="B6" s="27">
        <v>40</v>
      </c>
      <c r="C6" s="330"/>
      <c r="D6" s="308"/>
      <c r="E6" s="308"/>
      <c r="F6" s="308"/>
      <c r="G6" s="340"/>
      <c r="H6" s="341"/>
      <c r="I6" s="330"/>
      <c r="J6" s="334"/>
      <c r="K6" s="334"/>
      <c r="L6" s="342"/>
      <c r="M6" s="331"/>
      <c r="O6" s="49"/>
      <c r="P6" s="49"/>
      <c r="Q6" s="49"/>
      <c r="R6" s="49"/>
      <c r="S6" s="49"/>
      <c r="T6" s="49"/>
      <c r="U6" s="49"/>
      <c r="V6" s="49"/>
      <c r="W6" s="49"/>
      <c r="X6" s="49"/>
      <c r="Y6" s="49"/>
      <c r="Z6" s="49"/>
      <c r="AA6" s="49"/>
      <c r="AB6" s="49"/>
      <c r="AC6" s="49"/>
      <c r="AD6" s="49"/>
    </row>
    <row r="7" spans="1:30" x14ac:dyDescent="0.25">
      <c r="A7" s="338" t="s">
        <v>65</v>
      </c>
      <c r="B7" s="339"/>
      <c r="C7" s="339"/>
      <c r="D7" s="339"/>
      <c r="E7" s="339"/>
      <c r="F7" s="339"/>
      <c r="G7" s="339"/>
      <c r="H7" s="339"/>
      <c r="I7" s="339"/>
      <c r="J7" s="339"/>
      <c r="K7" s="339"/>
      <c r="L7" s="339"/>
      <c r="M7" s="218"/>
      <c r="O7" s="48"/>
      <c r="P7" s="48"/>
      <c r="Q7" s="48"/>
      <c r="R7" s="48"/>
      <c r="S7" s="48"/>
      <c r="T7" s="48"/>
      <c r="U7" s="48"/>
      <c r="V7" s="48"/>
      <c r="W7" s="48"/>
      <c r="X7" s="48"/>
      <c r="Y7" s="49"/>
      <c r="Z7" s="49"/>
      <c r="AA7" s="49"/>
      <c r="AB7" s="49"/>
      <c r="AC7" s="49"/>
      <c r="AD7" s="49"/>
    </row>
    <row r="8" spans="1:30" ht="75" x14ac:dyDescent="0.25">
      <c r="A8" s="216" t="s">
        <v>91</v>
      </c>
      <c r="B8" s="212" t="s">
        <v>53</v>
      </c>
      <c r="C8" s="212" t="s">
        <v>93</v>
      </c>
      <c r="D8" s="212" t="s">
        <v>94</v>
      </c>
      <c r="E8" s="212" t="s">
        <v>95</v>
      </c>
      <c r="F8" s="211" t="s">
        <v>18</v>
      </c>
      <c r="G8" s="212" t="s">
        <v>96</v>
      </c>
      <c r="H8" s="212" t="s">
        <v>101</v>
      </c>
      <c r="I8" s="212" t="s">
        <v>97</v>
      </c>
      <c r="J8" s="212" t="s">
        <v>439</v>
      </c>
      <c r="K8" s="212" t="s">
        <v>102</v>
      </c>
      <c r="L8" s="212" t="s">
        <v>51</v>
      </c>
      <c r="M8" s="217" t="s">
        <v>389</v>
      </c>
      <c r="O8" s="16"/>
      <c r="P8" s="16"/>
      <c r="Q8" s="16"/>
      <c r="R8" s="16"/>
      <c r="S8" s="16"/>
    </row>
    <row r="9" spans="1:30" ht="75" x14ac:dyDescent="0.25">
      <c r="A9" s="37" t="s">
        <v>230</v>
      </c>
      <c r="B9" s="26">
        <v>15</v>
      </c>
      <c r="C9" s="115" t="s">
        <v>313</v>
      </c>
      <c r="D9" s="115" t="s">
        <v>314</v>
      </c>
      <c r="E9" s="26" t="s">
        <v>315</v>
      </c>
      <c r="F9" s="26" t="s">
        <v>315</v>
      </c>
      <c r="G9" s="23">
        <v>1</v>
      </c>
      <c r="H9" s="21">
        <v>1551178796</v>
      </c>
      <c r="I9" s="213">
        <v>6778.79</v>
      </c>
      <c r="J9" s="213">
        <f>I9*G9</f>
        <v>6778.79</v>
      </c>
      <c r="K9" s="214">
        <f>I9*G9</f>
        <v>6778.79</v>
      </c>
      <c r="L9" s="344">
        <v>40</v>
      </c>
      <c r="M9" s="331" t="s">
        <v>440</v>
      </c>
    </row>
    <row r="10" spans="1:30" ht="135" x14ac:dyDescent="0.25">
      <c r="A10" s="37" t="s">
        <v>231</v>
      </c>
      <c r="B10" s="26">
        <v>30</v>
      </c>
      <c r="C10" s="115" t="s">
        <v>317</v>
      </c>
      <c r="D10" s="115" t="s">
        <v>318</v>
      </c>
      <c r="E10" s="115" t="s">
        <v>442</v>
      </c>
      <c r="F10" s="26" t="s">
        <v>315</v>
      </c>
      <c r="G10" s="23">
        <v>0.5</v>
      </c>
      <c r="H10" s="21">
        <v>196424864.15000001</v>
      </c>
      <c r="I10" s="115" t="s">
        <v>319</v>
      </c>
      <c r="J10" s="123">
        <f>2846*G10</f>
        <v>1423</v>
      </c>
      <c r="K10" s="122">
        <f>2846*50%</f>
        <v>1423</v>
      </c>
      <c r="L10" s="344"/>
      <c r="M10" s="331"/>
    </row>
    <row r="11" spans="1:30" x14ac:dyDescent="0.25">
      <c r="A11" s="38" t="s">
        <v>92</v>
      </c>
      <c r="B11" s="26">
        <v>40</v>
      </c>
      <c r="C11" s="26"/>
      <c r="D11" s="26"/>
      <c r="E11" s="26"/>
      <c r="F11" s="26"/>
      <c r="G11" s="26"/>
      <c r="H11" s="26"/>
      <c r="I11" s="26"/>
      <c r="J11" s="26"/>
      <c r="K11" s="26"/>
      <c r="L11" s="17"/>
      <c r="M11" s="168"/>
    </row>
    <row r="12" spans="1:30" x14ac:dyDescent="0.25">
      <c r="A12" s="338" t="s">
        <v>66</v>
      </c>
      <c r="B12" s="339"/>
      <c r="C12" s="339"/>
      <c r="D12" s="339"/>
      <c r="E12" s="339"/>
      <c r="F12" s="339"/>
      <c r="G12" s="339"/>
      <c r="H12" s="339"/>
      <c r="I12" s="339"/>
      <c r="J12" s="339"/>
      <c r="K12" s="339"/>
      <c r="L12" s="339"/>
      <c r="M12" s="218"/>
    </row>
    <row r="13" spans="1:30" ht="75" x14ac:dyDescent="0.25">
      <c r="A13" s="216" t="s">
        <v>91</v>
      </c>
      <c r="B13" s="212" t="s">
        <v>53</v>
      </c>
      <c r="C13" s="212" t="s">
        <v>93</v>
      </c>
      <c r="D13" s="212" t="s">
        <v>94</v>
      </c>
      <c r="E13" s="212" t="s">
        <v>95</v>
      </c>
      <c r="F13" s="211" t="s">
        <v>18</v>
      </c>
      <c r="G13" s="212" t="s">
        <v>96</v>
      </c>
      <c r="H13" s="212" t="s">
        <v>101</v>
      </c>
      <c r="I13" s="212" t="s">
        <v>97</v>
      </c>
      <c r="J13" s="212" t="s">
        <v>439</v>
      </c>
      <c r="K13" s="212" t="s">
        <v>102</v>
      </c>
      <c r="L13" s="212" t="s">
        <v>51</v>
      </c>
      <c r="M13" s="217" t="s">
        <v>389</v>
      </c>
    </row>
    <row r="14" spans="1:30" ht="60" x14ac:dyDescent="0.25">
      <c r="A14" s="34" t="s">
        <v>230</v>
      </c>
      <c r="B14" s="27">
        <v>15</v>
      </c>
      <c r="C14" s="330" t="s">
        <v>131</v>
      </c>
      <c r="D14" s="308" t="s">
        <v>232</v>
      </c>
      <c r="E14" s="308" t="s">
        <v>132</v>
      </c>
      <c r="F14" s="330" t="s">
        <v>504</v>
      </c>
      <c r="G14" s="340">
        <v>1</v>
      </c>
      <c r="H14" s="343">
        <v>32450000</v>
      </c>
      <c r="I14" s="341">
        <v>6100</v>
      </c>
      <c r="J14" s="341">
        <f>I14*G14</f>
        <v>6100</v>
      </c>
      <c r="K14" s="341">
        <f>I14*G14</f>
        <v>6100</v>
      </c>
      <c r="L14" s="333" t="s">
        <v>316</v>
      </c>
      <c r="M14" s="332" t="s">
        <v>505</v>
      </c>
    </row>
    <row r="15" spans="1:30" ht="60" x14ac:dyDescent="0.25">
      <c r="A15" s="34" t="s">
        <v>231</v>
      </c>
      <c r="B15" s="27">
        <v>30</v>
      </c>
      <c r="C15" s="330"/>
      <c r="D15" s="330"/>
      <c r="E15" s="308"/>
      <c r="F15" s="330"/>
      <c r="G15" s="340"/>
      <c r="H15" s="343"/>
      <c r="I15" s="341"/>
      <c r="J15" s="341"/>
      <c r="K15" s="341"/>
      <c r="L15" s="333"/>
      <c r="M15" s="332"/>
    </row>
    <row r="16" spans="1:30" x14ac:dyDescent="0.25">
      <c r="A16" s="38" t="s">
        <v>92</v>
      </c>
      <c r="B16" s="27">
        <v>40</v>
      </c>
      <c r="C16" s="330"/>
      <c r="D16" s="330"/>
      <c r="E16" s="308"/>
      <c r="F16" s="330"/>
      <c r="G16" s="340"/>
      <c r="H16" s="343"/>
      <c r="I16" s="341"/>
      <c r="J16" s="341"/>
      <c r="K16" s="341"/>
      <c r="L16" s="333"/>
      <c r="M16" s="332"/>
    </row>
    <row r="17" spans="1:13" x14ac:dyDescent="0.25">
      <c r="A17" s="338" t="s">
        <v>67</v>
      </c>
      <c r="B17" s="339"/>
      <c r="C17" s="339"/>
      <c r="D17" s="339"/>
      <c r="E17" s="339"/>
      <c r="F17" s="339"/>
      <c r="G17" s="339"/>
      <c r="H17" s="339"/>
      <c r="I17" s="339"/>
      <c r="J17" s="339"/>
      <c r="K17" s="339"/>
      <c r="L17" s="339"/>
      <c r="M17" s="218"/>
    </row>
    <row r="18" spans="1:13" ht="75" x14ac:dyDescent="0.25">
      <c r="A18" s="216" t="s">
        <v>91</v>
      </c>
      <c r="B18" s="212" t="s">
        <v>53</v>
      </c>
      <c r="C18" s="212" t="s">
        <v>93</v>
      </c>
      <c r="D18" s="212" t="s">
        <v>94</v>
      </c>
      <c r="E18" s="212" t="s">
        <v>95</v>
      </c>
      <c r="F18" s="211" t="s">
        <v>18</v>
      </c>
      <c r="G18" s="212" t="s">
        <v>96</v>
      </c>
      <c r="H18" s="212" t="s">
        <v>101</v>
      </c>
      <c r="I18" s="212" t="s">
        <v>97</v>
      </c>
      <c r="J18" s="212" t="s">
        <v>439</v>
      </c>
      <c r="K18" s="212" t="s">
        <v>102</v>
      </c>
      <c r="L18" s="212" t="s">
        <v>51</v>
      </c>
      <c r="M18" s="217" t="s">
        <v>389</v>
      </c>
    </row>
    <row r="19" spans="1:13" ht="60" x14ac:dyDescent="0.25">
      <c r="A19" s="37" t="s">
        <v>230</v>
      </c>
      <c r="B19" s="26">
        <v>15</v>
      </c>
      <c r="C19" s="26" t="s">
        <v>320</v>
      </c>
      <c r="D19" s="115" t="s">
        <v>339</v>
      </c>
      <c r="E19" s="115" t="s">
        <v>443</v>
      </c>
      <c r="F19" s="115" t="s">
        <v>288</v>
      </c>
      <c r="G19" s="23">
        <v>0.5</v>
      </c>
      <c r="H19" s="26" t="s">
        <v>321</v>
      </c>
      <c r="I19" s="26">
        <v>32840.19</v>
      </c>
      <c r="J19" s="26">
        <f>I19*G19</f>
        <v>16420.095000000001</v>
      </c>
      <c r="K19" s="215">
        <f>J19*0.6</f>
        <v>9852.0570000000007</v>
      </c>
      <c r="L19" s="333" t="s">
        <v>525</v>
      </c>
      <c r="M19" s="331" t="s">
        <v>440</v>
      </c>
    </row>
    <row r="20" spans="1:13" ht="60" x14ac:dyDescent="0.25">
      <c r="A20" s="37" t="s">
        <v>231</v>
      </c>
      <c r="B20" s="26">
        <v>30</v>
      </c>
      <c r="C20" s="26"/>
      <c r="D20" s="26"/>
      <c r="E20" s="26"/>
      <c r="F20" s="26"/>
      <c r="G20" s="23"/>
      <c r="H20" s="26"/>
      <c r="I20" s="26"/>
      <c r="J20" s="26"/>
      <c r="K20" s="26"/>
      <c r="L20" s="333"/>
      <c r="M20" s="331"/>
    </row>
    <row r="21" spans="1:13" x14ac:dyDescent="0.25">
      <c r="A21" s="38" t="s">
        <v>92</v>
      </c>
      <c r="B21" s="26">
        <v>40</v>
      </c>
      <c r="C21" s="26"/>
      <c r="D21" s="26"/>
      <c r="E21" s="26"/>
      <c r="F21" s="26"/>
      <c r="G21" s="26"/>
      <c r="H21" s="26"/>
      <c r="I21" s="26"/>
      <c r="J21" s="26"/>
      <c r="K21" s="26"/>
      <c r="L21" s="333"/>
      <c r="M21" s="331"/>
    </row>
    <row r="22" spans="1:13" x14ac:dyDescent="0.25">
      <c r="A22" s="338" t="s">
        <v>255</v>
      </c>
      <c r="B22" s="339"/>
      <c r="C22" s="339"/>
      <c r="D22" s="339"/>
      <c r="E22" s="339"/>
      <c r="F22" s="339"/>
      <c r="G22" s="339"/>
      <c r="H22" s="339"/>
      <c r="I22" s="339"/>
      <c r="J22" s="339"/>
      <c r="K22" s="339"/>
      <c r="L22" s="339"/>
      <c r="M22" s="218"/>
    </row>
    <row r="23" spans="1:13" ht="75" x14ac:dyDescent="0.25">
      <c r="A23" s="216" t="s">
        <v>91</v>
      </c>
      <c r="B23" s="212" t="s">
        <v>53</v>
      </c>
      <c r="C23" s="212" t="s">
        <v>93</v>
      </c>
      <c r="D23" s="212" t="s">
        <v>94</v>
      </c>
      <c r="E23" s="212" t="s">
        <v>95</v>
      </c>
      <c r="F23" s="211" t="s">
        <v>18</v>
      </c>
      <c r="G23" s="212" t="s">
        <v>96</v>
      </c>
      <c r="H23" s="212" t="s">
        <v>101</v>
      </c>
      <c r="I23" s="212" t="s">
        <v>97</v>
      </c>
      <c r="J23" s="212" t="s">
        <v>439</v>
      </c>
      <c r="K23" s="212" t="s">
        <v>102</v>
      </c>
      <c r="L23" s="212" t="s">
        <v>51</v>
      </c>
      <c r="M23" s="217" t="s">
        <v>389</v>
      </c>
    </row>
    <row r="24" spans="1:13" ht="60" x14ac:dyDescent="0.25">
      <c r="A24" s="34" t="s">
        <v>230</v>
      </c>
      <c r="B24" s="27">
        <v>15</v>
      </c>
      <c r="C24" s="330" t="s">
        <v>146</v>
      </c>
      <c r="D24" s="308" t="s">
        <v>253</v>
      </c>
      <c r="E24" s="308" t="s">
        <v>340</v>
      </c>
      <c r="F24" s="308" t="s">
        <v>68</v>
      </c>
      <c r="G24" s="340">
        <v>0.5</v>
      </c>
      <c r="H24" s="330" t="s">
        <v>148</v>
      </c>
      <c r="I24" s="330">
        <v>15182.66</v>
      </c>
      <c r="J24" s="330">
        <f>I24*G24</f>
        <v>7591.33</v>
      </c>
      <c r="K24" s="330">
        <f>I24*G24</f>
        <v>7591.33</v>
      </c>
      <c r="L24" s="342">
        <v>40</v>
      </c>
      <c r="M24" s="331" t="s">
        <v>440</v>
      </c>
    </row>
    <row r="25" spans="1:13" ht="60" x14ac:dyDescent="0.25">
      <c r="A25" s="34" t="s">
        <v>231</v>
      </c>
      <c r="B25" s="27">
        <v>30</v>
      </c>
      <c r="C25" s="330"/>
      <c r="D25" s="308"/>
      <c r="E25" s="308"/>
      <c r="F25" s="308"/>
      <c r="G25" s="330"/>
      <c r="H25" s="330"/>
      <c r="I25" s="330"/>
      <c r="J25" s="330"/>
      <c r="K25" s="330"/>
      <c r="L25" s="342"/>
      <c r="M25" s="331"/>
    </row>
    <row r="26" spans="1:13" x14ac:dyDescent="0.25">
      <c r="A26" s="38" t="s">
        <v>92</v>
      </c>
      <c r="B26" s="27">
        <v>40</v>
      </c>
      <c r="C26" s="330"/>
      <c r="D26" s="308"/>
      <c r="E26" s="308"/>
      <c r="F26" s="308"/>
      <c r="G26" s="330"/>
      <c r="H26" s="330"/>
      <c r="I26" s="330"/>
      <c r="J26" s="330"/>
      <c r="K26" s="330"/>
      <c r="L26" s="342"/>
      <c r="M26" s="331"/>
    </row>
    <row r="27" spans="1:13" x14ac:dyDescent="0.25">
      <c r="A27" s="338" t="s">
        <v>69</v>
      </c>
      <c r="B27" s="339"/>
      <c r="C27" s="339"/>
      <c r="D27" s="339"/>
      <c r="E27" s="339"/>
      <c r="F27" s="339"/>
      <c r="G27" s="339"/>
      <c r="H27" s="339"/>
      <c r="I27" s="339"/>
      <c r="J27" s="339"/>
      <c r="K27" s="339"/>
      <c r="L27" s="339"/>
      <c r="M27" s="218"/>
    </row>
    <row r="28" spans="1:13" ht="75" x14ac:dyDescent="0.25">
      <c r="A28" s="216" t="s">
        <v>91</v>
      </c>
      <c r="B28" s="212" t="s">
        <v>53</v>
      </c>
      <c r="C28" s="212" t="s">
        <v>93</v>
      </c>
      <c r="D28" s="212" t="s">
        <v>94</v>
      </c>
      <c r="E28" s="212" t="s">
        <v>95</v>
      </c>
      <c r="F28" s="211" t="s">
        <v>18</v>
      </c>
      <c r="G28" s="212" t="s">
        <v>96</v>
      </c>
      <c r="H28" s="212" t="s">
        <v>101</v>
      </c>
      <c r="I28" s="212" t="s">
        <v>97</v>
      </c>
      <c r="J28" s="212" t="s">
        <v>439</v>
      </c>
      <c r="K28" s="212" t="s">
        <v>102</v>
      </c>
      <c r="L28" s="212" t="s">
        <v>51</v>
      </c>
      <c r="M28" s="217" t="s">
        <v>389</v>
      </c>
    </row>
    <row r="29" spans="1:13" ht="153" x14ac:dyDescent="0.25">
      <c r="A29" s="37" t="s">
        <v>230</v>
      </c>
      <c r="B29" s="26">
        <v>15</v>
      </c>
      <c r="C29" s="112" t="s">
        <v>526</v>
      </c>
      <c r="D29" s="19" t="s">
        <v>378</v>
      </c>
      <c r="E29" s="18" t="s">
        <v>381</v>
      </c>
      <c r="F29" s="26"/>
      <c r="G29" s="24">
        <v>0.5</v>
      </c>
      <c r="H29" s="21">
        <v>788058150</v>
      </c>
      <c r="I29" s="25">
        <v>6875.32</v>
      </c>
      <c r="J29" s="25">
        <f>I29*G29</f>
        <v>3437.66</v>
      </c>
      <c r="K29" s="26">
        <f>I29*G29</f>
        <v>3437.66</v>
      </c>
      <c r="L29" s="342">
        <v>40</v>
      </c>
      <c r="M29" s="331" t="s">
        <v>440</v>
      </c>
    </row>
    <row r="30" spans="1:13" ht="60" x14ac:dyDescent="0.25">
      <c r="A30" s="37" t="s">
        <v>231</v>
      </c>
      <c r="B30" s="26">
        <v>30</v>
      </c>
      <c r="C30" s="112" t="s">
        <v>376</v>
      </c>
      <c r="D30" s="19" t="s">
        <v>379</v>
      </c>
      <c r="E30" s="18" t="s">
        <v>382</v>
      </c>
      <c r="F30" s="26"/>
      <c r="G30" s="24">
        <v>1</v>
      </c>
      <c r="H30" s="21">
        <v>910288495.69000006</v>
      </c>
      <c r="I30" s="25">
        <v>2419.39</v>
      </c>
      <c r="J30" s="25">
        <f t="shared" ref="J30:J31" si="0">I30*G30</f>
        <v>2419.39</v>
      </c>
      <c r="K30" s="26">
        <f>I30*G30</f>
        <v>2419.39</v>
      </c>
      <c r="L30" s="342"/>
      <c r="M30" s="331"/>
    </row>
    <row r="31" spans="1:13" ht="38.25" x14ac:dyDescent="0.25">
      <c r="A31" s="38" t="s">
        <v>92</v>
      </c>
      <c r="B31" s="26">
        <v>40</v>
      </c>
      <c r="C31" s="112" t="s">
        <v>377</v>
      </c>
      <c r="D31" s="19" t="s">
        <v>380</v>
      </c>
      <c r="E31" s="18" t="s">
        <v>382</v>
      </c>
      <c r="F31" s="26"/>
      <c r="G31" s="24">
        <v>1</v>
      </c>
      <c r="H31" s="21">
        <v>256000500</v>
      </c>
      <c r="I31" s="25">
        <v>2105.9299999999998</v>
      </c>
      <c r="J31" s="25">
        <f t="shared" si="0"/>
        <v>2105.9299999999998</v>
      </c>
      <c r="K31" s="26">
        <f>I31*G31</f>
        <v>2105.9299999999998</v>
      </c>
      <c r="L31" s="342"/>
      <c r="M31" s="331"/>
    </row>
    <row r="32" spans="1:13" x14ac:dyDescent="0.25">
      <c r="A32" s="338" t="s">
        <v>70</v>
      </c>
      <c r="B32" s="339"/>
      <c r="C32" s="339"/>
      <c r="D32" s="339"/>
      <c r="E32" s="339"/>
      <c r="F32" s="339"/>
      <c r="G32" s="339"/>
      <c r="H32" s="339"/>
      <c r="I32" s="339"/>
      <c r="J32" s="339"/>
      <c r="K32" s="339"/>
      <c r="L32" s="339"/>
      <c r="M32" s="218"/>
    </row>
    <row r="33" spans="1:13" ht="75" x14ac:dyDescent="0.25">
      <c r="A33" s="216" t="s">
        <v>91</v>
      </c>
      <c r="B33" s="212" t="s">
        <v>53</v>
      </c>
      <c r="C33" s="212" t="s">
        <v>93</v>
      </c>
      <c r="D33" s="212" t="s">
        <v>94</v>
      </c>
      <c r="E33" s="212" t="s">
        <v>95</v>
      </c>
      <c r="F33" s="211" t="s">
        <v>18</v>
      </c>
      <c r="G33" s="212" t="s">
        <v>96</v>
      </c>
      <c r="H33" s="212" t="s">
        <v>101</v>
      </c>
      <c r="I33" s="212" t="s">
        <v>97</v>
      </c>
      <c r="J33" s="212" t="s">
        <v>439</v>
      </c>
      <c r="K33" s="212" t="s">
        <v>102</v>
      </c>
      <c r="L33" s="212" t="s">
        <v>51</v>
      </c>
      <c r="M33" s="217" t="s">
        <v>389</v>
      </c>
    </row>
    <row r="34" spans="1:13" ht="60" x14ac:dyDescent="0.25">
      <c r="A34" s="34" t="s">
        <v>230</v>
      </c>
      <c r="B34" s="27">
        <v>15</v>
      </c>
      <c r="C34" s="330" t="s">
        <v>157</v>
      </c>
      <c r="D34" s="308" t="s">
        <v>254</v>
      </c>
      <c r="E34" s="308" t="s">
        <v>158</v>
      </c>
      <c r="F34" s="308" t="s">
        <v>159</v>
      </c>
      <c r="G34" s="340">
        <v>1</v>
      </c>
      <c r="H34" s="273">
        <v>797285332</v>
      </c>
      <c r="I34" s="330">
        <v>9450</v>
      </c>
      <c r="J34" s="330">
        <f>I34*G34</f>
        <v>9450</v>
      </c>
      <c r="K34" s="330">
        <f>I34*G34</f>
        <v>9450</v>
      </c>
      <c r="L34" s="345" t="s">
        <v>233</v>
      </c>
      <c r="M34" s="331" t="s">
        <v>507</v>
      </c>
    </row>
    <row r="35" spans="1:13" ht="60" x14ac:dyDescent="0.25">
      <c r="A35" s="34" t="s">
        <v>231</v>
      </c>
      <c r="B35" s="27">
        <v>30</v>
      </c>
      <c r="C35" s="330"/>
      <c r="D35" s="308"/>
      <c r="E35" s="308"/>
      <c r="F35" s="330"/>
      <c r="G35" s="330"/>
      <c r="H35" s="273"/>
      <c r="I35" s="330"/>
      <c r="J35" s="330"/>
      <c r="K35" s="330"/>
      <c r="L35" s="346"/>
      <c r="M35" s="331"/>
    </row>
    <row r="36" spans="1:13" ht="132" customHeight="1" thickBot="1" x14ac:dyDescent="0.3">
      <c r="A36" s="35" t="s">
        <v>92</v>
      </c>
      <c r="B36" s="39">
        <v>40</v>
      </c>
      <c r="C36" s="87" t="s">
        <v>506</v>
      </c>
      <c r="D36" s="39" t="s">
        <v>251</v>
      </c>
      <c r="E36" s="40" t="s">
        <v>152</v>
      </c>
      <c r="F36" s="40" t="s">
        <v>152</v>
      </c>
      <c r="G36" s="41">
        <v>1</v>
      </c>
      <c r="H36" s="88">
        <v>759268512</v>
      </c>
      <c r="I36" s="42">
        <v>8940.9500000000007</v>
      </c>
      <c r="J36" s="42">
        <f>I36*G36</f>
        <v>8940.9500000000007</v>
      </c>
      <c r="K36" s="42">
        <f>I36*G36</f>
        <v>8940.9500000000007</v>
      </c>
      <c r="L36" s="125">
        <v>40</v>
      </c>
      <c r="M36" s="120" t="s">
        <v>440</v>
      </c>
    </row>
    <row r="39" spans="1:13" x14ac:dyDescent="0.25">
      <c r="F39" t="s">
        <v>449</v>
      </c>
    </row>
    <row r="42" spans="1:13" x14ac:dyDescent="0.25">
      <c r="F42" s="31" t="s">
        <v>450</v>
      </c>
      <c r="I42" s="31" t="s">
        <v>454</v>
      </c>
    </row>
    <row r="43" spans="1:13" x14ac:dyDescent="0.25">
      <c r="F43" t="s">
        <v>451</v>
      </c>
      <c r="I43" t="s">
        <v>453</v>
      </c>
    </row>
    <row r="47" spans="1:13" x14ac:dyDescent="0.25">
      <c r="F47" s="31" t="s">
        <v>452</v>
      </c>
      <c r="I47" s="31" t="s">
        <v>455</v>
      </c>
    </row>
    <row r="48" spans="1:13" x14ac:dyDescent="0.25">
      <c r="F48" t="s">
        <v>453</v>
      </c>
      <c r="I48" t="s">
        <v>451</v>
      </c>
    </row>
  </sheetData>
  <mergeCells count="58">
    <mergeCell ref="H24:H26"/>
    <mergeCell ref="I24:I26"/>
    <mergeCell ref="K24:K26"/>
    <mergeCell ref="L24:L26"/>
    <mergeCell ref="H34:H35"/>
    <mergeCell ref="I34:I35"/>
    <mergeCell ref="K34:K35"/>
    <mergeCell ref="L34:L35"/>
    <mergeCell ref="A32:L32"/>
    <mergeCell ref="A27:L27"/>
    <mergeCell ref="L29:L31"/>
    <mergeCell ref="C34:C35"/>
    <mergeCell ref="D34:D35"/>
    <mergeCell ref="E34:E35"/>
    <mergeCell ref="C24:C26"/>
    <mergeCell ref="D24:D26"/>
    <mergeCell ref="E24:E26"/>
    <mergeCell ref="F24:F26"/>
    <mergeCell ref="G24:G26"/>
    <mergeCell ref="F34:F35"/>
    <mergeCell ref="G34:G35"/>
    <mergeCell ref="A7:L7"/>
    <mergeCell ref="A12:L12"/>
    <mergeCell ref="A17:L17"/>
    <mergeCell ref="A22:L22"/>
    <mergeCell ref="C14:C16"/>
    <mergeCell ref="D14:D16"/>
    <mergeCell ref="E14:E16"/>
    <mergeCell ref="F14:F16"/>
    <mergeCell ref="G14:G16"/>
    <mergeCell ref="H14:H16"/>
    <mergeCell ref="I14:I16"/>
    <mergeCell ref="K14:K16"/>
    <mergeCell ref="L14:L16"/>
    <mergeCell ref="L9:L10"/>
    <mergeCell ref="J14:J16"/>
    <mergeCell ref="J4:J6"/>
    <mergeCell ref="M4:M6"/>
    <mergeCell ref="A1:M1"/>
    <mergeCell ref="A2:L2"/>
    <mergeCell ref="C4:C6"/>
    <mergeCell ref="D4:D6"/>
    <mergeCell ref="E4:E6"/>
    <mergeCell ref="F4:F6"/>
    <mergeCell ref="G4:G6"/>
    <mergeCell ref="H4:H6"/>
    <mergeCell ref="I4:I6"/>
    <mergeCell ref="K4:K6"/>
    <mergeCell ref="L4:L6"/>
    <mergeCell ref="J24:J26"/>
    <mergeCell ref="J34:J35"/>
    <mergeCell ref="M29:M31"/>
    <mergeCell ref="M34:M35"/>
    <mergeCell ref="M9:M10"/>
    <mergeCell ref="M14:M16"/>
    <mergeCell ref="M24:M26"/>
    <mergeCell ref="M19:M21"/>
    <mergeCell ref="L19:L21"/>
  </mergeCells>
  <conditionalFormatting sqref="G29:G31">
    <cfRule type="cellIs" dxfId="0" priority="1" operator="greaterThan">
      <formula>1</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L90"/>
  <sheetViews>
    <sheetView topLeftCell="A53" zoomScale="80" zoomScaleNormal="80" workbookViewId="0">
      <selection activeCell="K59" sqref="K59"/>
    </sheetView>
  </sheetViews>
  <sheetFormatPr baseColWidth="10" defaultRowHeight="15" x14ac:dyDescent="0.25"/>
  <cols>
    <col min="1" max="1" width="15.28515625" customWidth="1"/>
    <col min="2" max="2" width="18.85546875" customWidth="1"/>
    <col min="3" max="3" width="20.42578125" customWidth="1"/>
    <col min="4" max="4" width="19" customWidth="1"/>
    <col min="5" max="5" width="41" customWidth="1"/>
    <col min="6" max="6" width="16.85546875" customWidth="1"/>
    <col min="7" max="7" width="23.42578125" customWidth="1"/>
    <col min="8" max="8" width="18.7109375" customWidth="1"/>
    <col min="9" max="9" width="24.7109375" customWidth="1"/>
    <col min="10" max="10" width="20.85546875" customWidth="1"/>
    <col min="11" max="11" width="18.42578125" customWidth="1"/>
    <col min="12" max="12" width="20" customWidth="1"/>
  </cols>
  <sheetData>
    <row r="1" spans="1:12" ht="65.25" customHeight="1" x14ac:dyDescent="0.5">
      <c r="A1" s="348" t="s">
        <v>444</v>
      </c>
      <c r="B1" s="349"/>
      <c r="C1" s="349"/>
      <c r="D1" s="349"/>
      <c r="E1" s="349"/>
      <c r="F1" s="349"/>
      <c r="G1" s="349"/>
      <c r="H1" s="349"/>
      <c r="I1" s="349"/>
      <c r="J1" s="349"/>
      <c r="K1" s="349"/>
      <c r="L1" s="350"/>
    </row>
    <row r="2" spans="1:12" x14ac:dyDescent="0.25">
      <c r="A2" s="354" t="s">
        <v>64</v>
      </c>
      <c r="B2" s="353"/>
      <c r="C2" s="353"/>
      <c r="D2" s="353"/>
      <c r="E2" s="353"/>
      <c r="F2" s="353"/>
      <c r="G2" s="353"/>
      <c r="H2" s="353"/>
      <c r="I2" s="353"/>
      <c r="J2" s="353"/>
      <c r="K2" s="353"/>
      <c r="L2" s="168"/>
    </row>
    <row r="3" spans="1:12" x14ac:dyDescent="0.25">
      <c r="A3" s="354" t="s">
        <v>81</v>
      </c>
      <c r="B3" s="353"/>
      <c r="C3" s="353"/>
      <c r="D3" s="353"/>
      <c r="E3" s="353"/>
      <c r="F3" s="353"/>
      <c r="G3" s="353"/>
      <c r="H3" s="353"/>
      <c r="I3" s="353"/>
      <c r="J3" s="353"/>
      <c r="K3" s="353"/>
      <c r="L3" s="168"/>
    </row>
    <row r="4" spans="1:12" ht="30" x14ac:dyDescent="0.25">
      <c r="A4" s="216" t="s">
        <v>50</v>
      </c>
      <c r="B4" s="211" t="s">
        <v>91</v>
      </c>
      <c r="C4" s="212" t="s">
        <v>53</v>
      </c>
      <c r="D4" s="212" t="s">
        <v>93</v>
      </c>
      <c r="E4" s="212" t="s">
        <v>94</v>
      </c>
      <c r="F4" s="212" t="s">
        <v>95</v>
      </c>
      <c r="G4" s="211" t="s">
        <v>18</v>
      </c>
      <c r="H4" s="212" t="s">
        <v>96</v>
      </c>
      <c r="I4" s="212" t="s">
        <v>101</v>
      </c>
      <c r="J4" s="212" t="s">
        <v>97</v>
      </c>
      <c r="K4" s="212" t="s">
        <v>51</v>
      </c>
      <c r="L4" s="217" t="s">
        <v>389</v>
      </c>
    </row>
    <row r="5" spans="1:12" ht="75" x14ac:dyDescent="0.25">
      <c r="A5" s="352">
        <v>1</v>
      </c>
      <c r="B5" s="219" t="s">
        <v>234</v>
      </c>
      <c r="C5" s="27">
        <v>10</v>
      </c>
      <c r="D5" s="308" t="s">
        <v>106</v>
      </c>
      <c r="E5" s="308" t="s">
        <v>235</v>
      </c>
      <c r="F5" s="308" t="s">
        <v>107</v>
      </c>
      <c r="G5" s="308" t="s">
        <v>108</v>
      </c>
      <c r="H5" s="340">
        <v>1</v>
      </c>
      <c r="I5" s="343">
        <v>1103386000</v>
      </c>
      <c r="J5" s="341">
        <v>9139.7099999999991</v>
      </c>
      <c r="K5" s="342">
        <v>30</v>
      </c>
      <c r="L5" s="331" t="s">
        <v>446</v>
      </c>
    </row>
    <row r="6" spans="1:12" ht="75" x14ac:dyDescent="0.25">
      <c r="A6" s="352"/>
      <c r="B6" s="219" t="s">
        <v>130</v>
      </c>
      <c r="C6" s="27">
        <v>20</v>
      </c>
      <c r="D6" s="330"/>
      <c r="E6" s="308"/>
      <c r="F6" s="308"/>
      <c r="G6" s="308"/>
      <c r="H6" s="340"/>
      <c r="I6" s="343"/>
      <c r="J6" s="341"/>
      <c r="K6" s="342"/>
      <c r="L6" s="331"/>
    </row>
    <row r="7" spans="1:12" x14ac:dyDescent="0.25">
      <c r="A7" s="352"/>
      <c r="B7" s="17" t="s">
        <v>92</v>
      </c>
      <c r="C7" s="26">
        <v>30</v>
      </c>
      <c r="D7" s="330"/>
      <c r="E7" s="308"/>
      <c r="F7" s="308"/>
      <c r="G7" s="308"/>
      <c r="H7" s="340"/>
      <c r="I7" s="343"/>
      <c r="J7" s="341"/>
      <c r="K7" s="342"/>
      <c r="L7" s="331"/>
    </row>
    <row r="8" spans="1:12" x14ac:dyDescent="0.25">
      <c r="A8" s="352"/>
      <c r="B8" s="353" t="s">
        <v>109</v>
      </c>
      <c r="C8" s="353"/>
      <c r="D8" s="353"/>
      <c r="E8" s="353"/>
      <c r="F8" s="353"/>
      <c r="G8" s="353"/>
      <c r="H8" s="353"/>
      <c r="I8" s="353"/>
      <c r="J8" s="353"/>
      <c r="K8" s="353"/>
      <c r="L8" s="168"/>
    </row>
    <row r="9" spans="1:12" ht="30" x14ac:dyDescent="0.25">
      <c r="A9" s="352"/>
      <c r="B9" s="211" t="s">
        <v>91</v>
      </c>
      <c r="C9" s="212" t="s">
        <v>53</v>
      </c>
      <c r="D9" s="212" t="s">
        <v>93</v>
      </c>
      <c r="E9" s="212" t="s">
        <v>94</v>
      </c>
      <c r="F9" s="212" t="s">
        <v>95</v>
      </c>
      <c r="G9" s="211" t="s">
        <v>18</v>
      </c>
      <c r="H9" s="212" t="s">
        <v>96</v>
      </c>
      <c r="I9" s="212" t="s">
        <v>101</v>
      </c>
      <c r="J9" s="212" t="s">
        <v>97</v>
      </c>
      <c r="K9" s="212" t="s">
        <v>51</v>
      </c>
      <c r="L9" s="217" t="s">
        <v>389</v>
      </c>
    </row>
    <row r="10" spans="1:12" ht="75" x14ac:dyDescent="0.25">
      <c r="A10" s="352"/>
      <c r="B10" s="219" t="s">
        <v>234</v>
      </c>
      <c r="C10" s="27">
        <v>6</v>
      </c>
      <c r="D10" s="308" t="s">
        <v>110</v>
      </c>
      <c r="E10" s="308" t="s">
        <v>244</v>
      </c>
      <c r="F10" s="308" t="s">
        <v>111</v>
      </c>
      <c r="G10" s="308" t="s">
        <v>86</v>
      </c>
      <c r="H10" s="340">
        <v>1</v>
      </c>
      <c r="I10" s="343">
        <v>2471427</v>
      </c>
      <c r="J10" s="334">
        <v>10700</v>
      </c>
      <c r="K10" s="344">
        <v>19</v>
      </c>
      <c r="L10" s="331" t="s">
        <v>446</v>
      </c>
    </row>
    <row r="11" spans="1:12" ht="75" x14ac:dyDescent="0.25">
      <c r="A11" s="352"/>
      <c r="B11" s="219" t="s">
        <v>130</v>
      </c>
      <c r="C11" s="27">
        <v>14</v>
      </c>
      <c r="D11" s="330"/>
      <c r="E11" s="308"/>
      <c r="F11" s="308"/>
      <c r="G11" s="308"/>
      <c r="H11" s="340"/>
      <c r="I11" s="343"/>
      <c r="J11" s="330"/>
      <c r="K11" s="344"/>
      <c r="L11" s="331"/>
    </row>
    <row r="12" spans="1:12" x14ac:dyDescent="0.25">
      <c r="A12" s="352"/>
      <c r="B12" s="17" t="s">
        <v>92</v>
      </c>
      <c r="C12" s="26">
        <v>19</v>
      </c>
      <c r="D12" s="330"/>
      <c r="E12" s="308"/>
      <c r="F12" s="308"/>
      <c r="G12" s="308"/>
      <c r="H12" s="340"/>
      <c r="I12" s="343"/>
      <c r="J12" s="330"/>
      <c r="K12" s="344"/>
      <c r="L12" s="331"/>
    </row>
    <row r="13" spans="1:12" x14ac:dyDescent="0.25">
      <c r="A13" s="354" t="s">
        <v>65</v>
      </c>
      <c r="B13" s="353"/>
      <c r="C13" s="353"/>
      <c r="D13" s="353"/>
      <c r="E13" s="353"/>
      <c r="F13" s="353"/>
      <c r="G13" s="353"/>
      <c r="H13" s="353"/>
      <c r="I13" s="353"/>
      <c r="J13" s="353"/>
      <c r="K13" s="353"/>
      <c r="L13" s="168"/>
    </row>
    <row r="14" spans="1:12" x14ac:dyDescent="0.25">
      <c r="A14" s="354" t="s">
        <v>81</v>
      </c>
      <c r="B14" s="353"/>
      <c r="C14" s="353"/>
      <c r="D14" s="353"/>
      <c r="E14" s="353"/>
      <c r="F14" s="353"/>
      <c r="G14" s="353"/>
      <c r="H14" s="353"/>
      <c r="I14" s="353"/>
      <c r="J14" s="353"/>
      <c r="K14" s="353"/>
      <c r="L14" s="168"/>
    </row>
    <row r="15" spans="1:12" ht="30" x14ac:dyDescent="0.25">
      <c r="A15" s="216" t="s">
        <v>50</v>
      </c>
      <c r="B15" s="211" t="s">
        <v>91</v>
      </c>
      <c r="C15" s="212" t="s">
        <v>53</v>
      </c>
      <c r="D15" s="212" t="s">
        <v>93</v>
      </c>
      <c r="E15" s="212" t="s">
        <v>94</v>
      </c>
      <c r="F15" s="212" t="s">
        <v>95</v>
      </c>
      <c r="G15" s="211" t="s">
        <v>18</v>
      </c>
      <c r="H15" s="212" t="s">
        <v>96</v>
      </c>
      <c r="I15" s="212" t="s">
        <v>101</v>
      </c>
      <c r="J15" s="212" t="s">
        <v>97</v>
      </c>
      <c r="K15" s="212" t="s">
        <v>51</v>
      </c>
      <c r="L15" s="217" t="s">
        <v>389</v>
      </c>
    </row>
    <row r="16" spans="1:12" ht="75" x14ac:dyDescent="0.25">
      <c r="A16" s="356">
        <v>2</v>
      </c>
      <c r="B16" s="219" t="s">
        <v>234</v>
      </c>
      <c r="C16" s="27">
        <v>10</v>
      </c>
      <c r="D16" s="308" t="s">
        <v>286</v>
      </c>
      <c r="E16" s="308" t="s">
        <v>341</v>
      </c>
      <c r="F16" s="308" t="s">
        <v>65</v>
      </c>
      <c r="G16" s="308" t="s">
        <v>257</v>
      </c>
      <c r="H16" s="340">
        <v>1</v>
      </c>
      <c r="I16" s="343">
        <v>1551178796</v>
      </c>
      <c r="J16" s="341">
        <v>6776.85</v>
      </c>
      <c r="K16" s="344">
        <v>30</v>
      </c>
      <c r="L16" s="331" t="s">
        <v>446</v>
      </c>
    </row>
    <row r="17" spans="1:12" ht="75" x14ac:dyDescent="0.25">
      <c r="A17" s="356"/>
      <c r="B17" s="219" t="s">
        <v>130</v>
      </c>
      <c r="C17" s="27">
        <v>20</v>
      </c>
      <c r="D17" s="330"/>
      <c r="E17" s="308"/>
      <c r="F17" s="308"/>
      <c r="G17" s="308"/>
      <c r="H17" s="340"/>
      <c r="I17" s="343"/>
      <c r="J17" s="341"/>
      <c r="K17" s="344"/>
      <c r="L17" s="331"/>
    </row>
    <row r="18" spans="1:12" x14ac:dyDescent="0.25">
      <c r="A18" s="356"/>
      <c r="B18" s="17" t="s">
        <v>92</v>
      </c>
      <c r="C18" s="26">
        <v>30</v>
      </c>
      <c r="D18" s="330"/>
      <c r="E18" s="308"/>
      <c r="F18" s="308"/>
      <c r="G18" s="308"/>
      <c r="H18" s="340"/>
      <c r="I18" s="343"/>
      <c r="J18" s="341"/>
      <c r="K18" s="344"/>
      <c r="L18" s="331"/>
    </row>
    <row r="19" spans="1:12" x14ac:dyDescent="0.25">
      <c r="A19" s="356"/>
      <c r="B19" s="353" t="s">
        <v>109</v>
      </c>
      <c r="C19" s="353"/>
      <c r="D19" s="353"/>
      <c r="E19" s="353"/>
      <c r="F19" s="353"/>
      <c r="G19" s="353"/>
      <c r="H19" s="353"/>
      <c r="I19" s="353"/>
      <c r="J19" s="353"/>
      <c r="K19" s="353"/>
      <c r="L19" s="168"/>
    </row>
    <row r="20" spans="1:12" ht="30" x14ac:dyDescent="0.25">
      <c r="A20" s="356"/>
      <c r="B20" s="211" t="s">
        <v>91</v>
      </c>
      <c r="C20" s="212" t="s">
        <v>53</v>
      </c>
      <c r="D20" s="212" t="s">
        <v>93</v>
      </c>
      <c r="E20" s="212" t="s">
        <v>94</v>
      </c>
      <c r="F20" s="212" t="s">
        <v>95</v>
      </c>
      <c r="G20" s="211" t="s">
        <v>18</v>
      </c>
      <c r="H20" s="212" t="s">
        <v>96</v>
      </c>
      <c r="I20" s="212" t="s">
        <v>101</v>
      </c>
      <c r="J20" s="212" t="s">
        <v>97</v>
      </c>
      <c r="K20" s="212" t="s">
        <v>51</v>
      </c>
      <c r="L20" s="217" t="s">
        <v>389</v>
      </c>
    </row>
    <row r="21" spans="1:12" ht="15" customHeight="1" x14ac:dyDescent="0.25">
      <c r="A21" s="356"/>
      <c r="B21" s="219" t="s">
        <v>234</v>
      </c>
      <c r="C21" s="27">
        <v>6</v>
      </c>
      <c r="D21" s="308" t="s">
        <v>286</v>
      </c>
      <c r="E21" s="308" t="s">
        <v>341</v>
      </c>
      <c r="F21" s="308" t="s">
        <v>65</v>
      </c>
      <c r="G21" s="308" t="s">
        <v>280</v>
      </c>
      <c r="H21" s="340">
        <v>1</v>
      </c>
      <c r="I21" s="343">
        <v>1551178796</v>
      </c>
      <c r="J21" s="341">
        <v>6776.85</v>
      </c>
      <c r="K21" s="344">
        <v>19</v>
      </c>
      <c r="L21" s="331" t="s">
        <v>446</v>
      </c>
    </row>
    <row r="22" spans="1:12" ht="75" x14ac:dyDescent="0.25">
      <c r="A22" s="356"/>
      <c r="B22" s="219" t="s">
        <v>130</v>
      </c>
      <c r="C22" s="27">
        <v>14</v>
      </c>
      <c r="D22" s="330"/>
      <c r="E22" s="308"/>
      <c r="F22" s="308"/>
      <c r="G22" s="308"/>
      <c r="H22" s="340"/>
      <c r="I22" s="343"/>
      <c r="J22" s="341"/>
      <c r="K22" s="344"/>
      <c r="L22" s="331"/>
    </row>
    <row r="23" spans="1:12" ht="36" customHeight="1" x14ac:dyDescent="0.25">
      <c r="A23" s="356"/>
      <c r="B23" s="17" t="s">
        <v>92</v>
      </c>
      <c r="C23" s="26">
        <v>19</v>
      </c>
      <c r="D23" s="330"/>
      <c r="E23" s="308"/>
      <c r="F23" s="308"/>
      <c r="G23" s="308"/>
      <c r="H23" s="340"/>
      <c r="I23" s="343"/>
      <c r="J23" s="341"/>
      <c r="K23" s="344"/>
      <c r="L23" s="331"/>
    </row>
    <row r="24" spans="1:12" x14ac:dyDescent="0.25">
      <c r="A24" s="354" t="s">
        <v>66</v>
      </c>
      <c r="B24" s="353"/>
      <c r="C24" s="353"/>
      <c r="D24" s="353"/>
      <c r="E24" s="353"/>
      <c r="F24" s="353"/>
      <c r="G24" s="353"/>
      <c r="H24" s="353"/>
      <c r="I24" s="353"/>
      <c r="J24" s="353"/>
      <c r="K24" s="353"/>
      <c r="L24" s="168"/>
    </row>
    <row r="25" spans="1:12" x14ac:dyDescent="0.25">
      <c r="A25" s="354" t="s">
        <v>81</v>
      </c>
      <c r="B25" s="353"/>
      <c r="C25" s="353"/>
      <c r="D25" s="353"/>
      <c r="E25" s="353"/>
      <c r="F25" s="353"/>
      <c r="G25" s="353"/>
      <c r="H25" s="353"/>
      <c r="I25" s="353"/>
      <c r="J25" s="353"/>
      <c r="K25" s="353"/>
      <c r="L25" s="168"/>
    </row>
    <row r="26" spans="1:12" ht="30" x14ac:dyDescent="0.25">
      <c r="A26" s="216" t="s">
        <v>50</v>
      </c>
      <c r="B26" s="211" t="s">
        <v>91</v>
      </c>
      <c r="C26" s="212" t="s">
        <v>53</v>
      </c>
      <c r="D26" s="212" t="s">
        <v>93</v>
      </c>
      <c r="E26" s="212" t="s">
        <v>94</v>
      </c>
      <c r="F26" s="212" t="s">
        <v>95</v>
      </c>
      <c r="G26" s="211" t="s">
        <v>18</v>
      </c>
      <c r="H26" s="212" t="s">
        <v>96</v>
      </c>
      <c r="I26" s="212" t="s">
        <v>101</v>
      </c>
      <c r="J26" s="212" t="s">
        <v>97</v>
      </c>
      <c r="K26" s="212" t="s">
        <v>51</v>
      </c>
      <c r="L26" s="217" t="s">
        <v>389</v>
      </c>
    </row>
    <row r="27" spans="1:12" ht="75" x14ac:dyDescent="0.25">
      <c r="A27" s="352">
        <v>3</v>
      </c>
      <c r="B27" s="219" t="s">
        <v>230</v>
      </c>
      <c r="C27" s="27">
        <v>10</v>
      </c>
      <c r="D27" s="308" t="s">
        <v>131</v>
      </c>
      <c r="E27" s="308" t="s">
        <v>232</v>
      </c>
      <c r="F27" s="308" t="s">
        <v>132</v>
      </c>
      <c r="G27" s="308" t="s">
        <v>121</v>
      </c>
      <c r="H27" s="340">
        <v>1</v>
      </c>
      <c r="I27" s="359" t="s">
        <v>133</v>
      </c>
      <c r="J27" s="334">
        <v>6100</v>
      </c>
      <c r="K27" s="333" t="s">
        <v>316</v>
      </c>
      <c r="L27" s="332" t="s">
        <v>505</v>
      </c>
    </row>
    <row r="28" spans="1:12" ht="75" x14ac:dyDescent="0.25">
      <c r="A28" s="352"/>
      <c r="B28" s="219" t="s">
        <v>231</v>
      </c>
      <c r="C28" s="27">
        <v>20</v>
      </c>
      <c r="D28" s="330"/>
      <c r="E28" s="330"/>
      <c r="F28" s="308"/>
      <c r="G28" s="308"/>
      <c r="H28" s="340"/>
      <c r="I28" s="359"/>
      <c r="J28" s="330"/>
      <c r="K28" s="333"/>
      <c r="L28" s="332"/>
    </row>
    <row r="29" spans="1:12" x14ac:dyDescent="0.25">
      <c r="A29" s="352"/>
      <c r="B29" s="17" t="s">
        <v>92</v>
      </c>
      <c r="C29" s="26">
        <v>30</v>
      </c>
      <c r="D29" s="330"/>
      <c r="E29" s="330"/>
      <c r="F29" s="308"/>
      <c r="G29" s="308"/>
      <c r="H29" s="340"/>
      <c r="I29" s="359"/>
      <c r="J29" s="330"/>
      <c r="K29" s="333"/>
      <c r="L29" s="332"/>
    </row>
    <row r="30" spans="1:12" x14ac:dyDescent="0.25">
      <c r="A30" s="352"/>
      <c r="B30" s="353" t="s">
        <v>109</v>
      </c>
      <c r="C30" s="353"/>
      <c r="D30" s="353"/>
      <c r="E30" s="353"/>
      <c r="F30" s="353"/>
      <c r="G30" s="353"/>
      <c r="H30" s="353"/>
      <c r="I30" s="353"/>
      <c r="J30" s="353"/>
      <c r="K30" s="353"/>
      <c r="L30" s="168"/>
    </row>
    <row r="31" spans="1:12" ht="30" x14ac:dyDescent="0.25">
      <c r="A31" s="352"/>
      <c r="B31" s="211" t="s">
        <v>91</v>
      </c>
      <c r="C31" s="212" t="s">
        <v>53</v>
      </c>
      <c r="D31" s="212" t="s">
        <v>93</v>
      </c>
      <c r="E31" s="212" t="s">
        <v>94</v>
      </c>
      <c r="F31" s="212" t="s">
        <v>95</v>
      </c>
      <c r="G31" s="211" t="s">
        <v>18</v>
      </c>
      <c r="H31" s="212" t="s">
        <v>96</v>
      </c>
      <c r="I31" s="212" t="s">
        <v>101</v>
      </c>
      <c r="J31" s="212" t="s">
        <v>97</v>
      </c>
      <c r="K31" s="212" t="s">
        <v>51</v>
      </c>
      <c r="L31" s="217" t="s">
        <v>389</v>
      </c>
    </row>
    <row r="32" spans="1:12" ht="75" x14ac:dyDescent="0.25">
      <c r="A32" s="352"/>
      <c r="B32" s="219" t="s">
        <v>234</v>
      </c>
      <c r="C32" s="27">
        <v>6</v>
      </c>
      <c r="D32" s="308" t="s">
        <v>131</v>
      </c>
      <c r="E32" s="308" t="s">
        <v>232</v>
      </c>
      <c r="F32" s="308" t="s">
        <v>132</v>
      </c>
      <c r="G32" s="308" t="s">
        <v>124</v>
      </c>
      <c r="H32" s="340">
        <v>1</v>
      </c>
      <c r="I32" s="359" t="s">
        <v>133</v>
      </c>
      <c r="J32" s="334">
        <v>6100</v>
      </c>
      <c r="K32" s="333" t="s">
        <v>316</v>
      </c>
      <c r="L32" s="332" t="s">
        <v>505</v>
      </c>
    </row>
    <row r="33" spans="1:12" ht="75" x14ac:dyDescent="0.25">
      <c r="A33" s="352"/>
      <c r="B33" s="219" t="s">
        <v>130</v>
      </c>
      <c r="C33" s="27">
        <v>14</v>
      </c>
      <c r="D33" s="330"/>
      <c r="E33" s="330"/>
      <c r="F33" s="308"/>
      <c r="G33" s="308"/>
      <c r="H33" s="340"/>
      <c r="I33" s="359"/>
      <c r="J33" s="330"/>
      <c r="K33" s="333"/>
      <c r="L33" s="332"/>
    </row>
    <row r="34" spans="1:12" x14ac:dyDescent="0.25">
      <c r="A34" s="352"/>
      <c r="B34" s="17" t="s">
        <v>92</v>
      </c>
      <c r="C34" s="26">
        <v>19</v>
      </c>
      <c r="D34" s="330"/>
      <c r="E34" s="330"/>
      <c r="F34" s="308"/>
      <c r="G34" s="308"/>
      <c r="H34" s="340"/>
      <c r="I34" s="359"/>
      <c r="J34" s="330"/>
      <c r="K34" s="333"/>
      <c r="L34" s="332"/>
    </row>
    <row r="35" spans="1:12" x14ac:dyDescent="0.25">
      <c r="A35" s="354" t="s">
        <v>67</v>
      </c>
      <c r="B35" s="353"/>
      <c r="C35" s="353"/>
      <c r="D35" s="353"/>
      <c r="E35" s="353"/>
      <c r="F35" s="353"/>
      <c r="G35" s="353"/>
      <c r="H35" s="353"/>
      <c r="I35" s="353"/>
      <c r="J35" s="353"/>
      <c r="K35" s="353"/>
      <c r="L35" s="168"/>
    </row>
    <row r="36" spans="1:12" x14ac:dyDescent="0.25">
      <c r="A36" s="354" t="s">
        <v>81</v>
      </c>
      <c r="B36" s="353"/>
      <c r="C36" s="353"/>
      <c r="D36" s="353"/>
      <c r="E36" s="353"/>
      <c r="F36" s="353"/>
      <c r="G36" s="353"/>
      <c r="H36" s="353"/>
      <c r="I36" s="353"/>
      <c r="J36" s="353"/>
      <c r="K36" s="353"/>
      <c r="L36" s="168"/>
    </row>
    <row r="37" spans="1:12" ht="30" x14ac:dyDescent="0.25">
      <c r="A37" s="216" t="s">
        <v>50</v>
      </c>
      <c r="B37" s="211" t="s">
        <v>91</v>
      </c>
      <c r="C37" s="212" t="s">
        <v>53</v>
      </c>
      <c r="D37" s="212" t="s">
        <v>93</v>
      </c>
      <c r="E37" s="212" t="s">
        <v>94</v>
      </c>
      <c r="F37" s="212" t="s">
        <v>95</v>
      </c>
      <c r="G37" s="211" t="s">
        <v>18</v>
      </c>
      <c r="H37" s="212" t="s">
        <v>96</v>
      </c>
      <c r="I37" s="212" t="s">
        <v>101</v>
      </c>
      <c r="J37" s="212" t="s">
        <v>97</v>
      </c>
      <c r="K37" s="212" t="s">
        <v>51</v>
      </c>
      <c r="L37" s="217" t="s">
        <v>389</v>
      </c>
    </row>
    <row r="38" spans="1:12" ht="75" x14ac:dyDescent="0.25">
      <c r="A38" s="356">
        <v>4</v>
      </c>
      <c r="B38" s="219" t="s">
        <v>230</v>
      </c>
      <c r="C38" s="27">
        <v>10</v>
      </c>
      <c r="D38" s="308" t="s">
        <v>346</v>
      </c>
      <c r="E38" s="308" t="s">
        <v>342</v>
      </c>
      <c r="F38" s="308" t="s">
        <v>309</v>
      </c>
      <c r="G38" s="308" t="s">
        <v>310</v>
      </c>
      <c r="H38" s="357">
        <v>1</v>
      </c>
      <c r="I38" s="358">
        <v>760024316</v>
      </c>
      <c r="J38" s="334">
        <v>32840.19</v>
      </c>
      <c r="K38" s="333" t="s">
        <v>525</v>
      </c>
      <c r="L38" s="331" t="s">
        <v>446</v>
      </c>
    </row>
    <row r="39" spans="1:12" ht="75" x14ac:dyDescent="0.25">
      <c r="A39" s="356"/>
      <c r="B39" s="219" t="s">
        <v>231</v>
      </c>
      <c r="C39" s="27">
        <v>20</v>
      </c>
      <c r="D39" s="330"/>
      <c r="E39" s="330"/>
      <c r="F39" s="308"/>
      <c r="G39" s="308"/>
      <c r="H39" s="357"/>
      <c r="I39" s="359"/>
      <c r="J39" s="330"/>
      <c r="K39" s="333"/>
      <c r="L39" s="331"/>
    </row>
    <row r="40" spans="1:12" x14ac:dyDescent="0.25">
      <c r="A40" s="356"/>
      <c r="B40" s="17" t="s">
        <v>92</v>
      </c>
      <c r="C40" s="26">
        <v>30</v>
      </c>
      <c r="D40" s="330"/>
      <c r="E40" s="330"/>
      <c r="F40" s="308"/>
      <c r="G40" s="308"/>
      <c r="H40" s="357"/>
      <c r="I40" s="359"/>
      <c r="J40" s="330"/>
      <c r="K40" s="333"/>
      <c r="L40" s="331"/>
    </row>
    <row r="41" spans="1:12" x14ac:dyDescent="0.25">
      <c r="A41" s="356"/>
      <c r="B41" s="353" t="s">
        <v>109</v>
      </c>
      <c r="C41" s="353"/>
      <c r="D41" s="353"/>
      <c r="E41" s="353"/>
      <c r="F41" s="353"/>
      <c r="G41" s="353"/>
      <c r="H41" s="353"/>
      <c r="I41" s="353"/>
      <c r="J41" s="353"/>
      <c r="K41" s="353"/>
      <c r="L41" s="168"/>
    </row>
    <row r="42" spans="1:12" ht="30" x14ac:dyDescent="0.25">
      <c r="A42" s="356"/>
      <c r="B42" s="211" t="s">
        <v>91</v>
      </c>
      <c r="C42" s="212" t="s">
        <v>53</v>
      </c>
      <c r="D42" s="212" t="s">
        <v>93</v>
      </c>
      <c r="E42" s="212" t="s">
        <v>94</v>
      </c>
      <c r="F42" s="212" t="s">
        <v>95</v>
      </c>
      <c r="G42" s="211" t="s">
        <v>18</v>
      </c>
      <c r="H42" s="212" t="s">
        <v>96</v>
      </c>
      <c r="I42" s="212" t="s">
        <v>101</v>
      </c>
      <c r="J42" s="212" t="s">
        <v>97</v>
      </c>
      <c r="K42" s="212" t="s">
        <v>51</v>
      </c>
      <c r="L42" s="217" t="s">
        <v>389</v>
      </c>
    </row>
    <row r="43" spans="1:12" ht="75" x14ac:dyDescent="0.25">
      <c r="A43" s="356"/>
      <c r="B43" s="219" t="s">
        <v>234</v>
      </c>
      <c r="C43" s="27">
        <v>6</v>
      </c>
      <c r="D43" s="308" t="s">
        <v>346</v>
      </c>
      <c r="E43" s="308" t="s">
        <v>342</v>
      </c>
      <c r="F43" s="308" t="s">
        <v>309</v>
      </c>
      <c r="G43" s="308" t="s">
        <v>293</v>
      </c>
      <c r="H43" s="340">
        <v>1</v>
      </c>
      <c r="I43" s="359" t="s">
        <v>343</v>
      </c>
      <c r="J43" s="334">
        <v>32840.19</v>
      </c>
      <c r="K43" s="333" t="s">
        <v>525</v>
      </c>
      <c r="L43" s="331" t="s">
        <v>446</v>
      </c>
    </row>
    <row r="44" spans="1:12" ht="75" x14ac:dyDescent="0.25">
      <c r="A44" s="356"/>
      <c r="B44" s="219" t="s">
        <v>130</v>
      </c>
      <c r="C44" s="27">
        <v>14</v>
      </c>
      <c r="D44" s="330"/>
      <c r="E44" s="330"/>
      <c r="F44" s="308"/>
      <c r="G44" s="308"/>
      <c r="H44" s="340"/>
      <c r="I44" s="359"/>
      <c r="J44" s="330"/>
      <c r="K44" s="333"/>
      <c r="L44" s="331"/>
    </row>
    <row r="45" spans="1:12" x14ac:dyDescent="0.25">
      <c r="A45" s="356"/>
      <c r="B45" s="17" t="s">
        <v>92</v>
      </c>
      <c r="C45" s="26">
        <v>19</v>
      </c>
      <c r="D45" s="330"/>
      <c r="E45" s="330"/>
      <c r="F45" s="308"/>
      <c r="G45" s="308"/>
      <c r="H45" s="340"/>
      <c r="I45" s="359"/>
      <c r="J45" s="330"/>
      <c r="K45" s="333"/>
      <c r="L45" s="331"/>
    </row>
    <row r="46" spans="1:12" x14ac:dyDescent="0.25">
      <c r="A46" s="354" t="s">
        <v>255</v>
      </c>
      <c r="B46" s="353"/>
      <c r="C46" s="353"/>
      <c r="D46" s="353"/>
      <c r="E46" s="353"/>
      <c r="F46" s="353"/>
      <c r="G46" s="353"/>
      <c r="H46" s="353"/>
      <c r="I46" s="353"/>
      <c r="J46" s="353"/>
      <c r="K46" s="353"/>
      <c r="L46" s="168"/>
    </row>
    <row r="47" spans="1:12" x14ac:dyDescent="0.25">
      <c r="A47" s="354" t="s">
        <v>81</v>
      </c>
      <c r="B47" s="353"/>
      <c r="C47" s="353"/>
      <c r="D47" s="353"/>
      <c r="E47" s="353"/>
      <c r="F47" s="353"/>
      <c r="G47" s="353"/>
      <c r="H47" s="353"/>
      <c r="I47" s="353"/>
      <c r="J47" s="353"/>
      <c r="K47" s="353"/>
      <c r="L47" s="168"/>
    </row>
    <row r="48" spans="1:12" ht="30" x14ac:dyDescent="0.25">
      <c r="A48" s="216" t="s">
        <v>50</v>
      </c>
      <c r="B48" s="211" t="s">
        <v>91</v>
      </c>
      <c r="C48" s="212" t="s">
        <v>53</v>
      </c>
      <c r="D48" s="212" t="s">
        <v>93</v>
      </c>
      <c r="E48" s="212" t="s">
        <v>94</v>
      </c>
      <c r="F48" s="212" t="s">
        <v>95</v>
      </c>
      <c r="G48" s="211" t="s">
        <v>18</v>
      </c>
      <c r="H48" s="212" t="s">
        <v>96</v>
      </c>
      <c r="I48" s="212" t="s">
        <v>101</v>
      </c>
      <c r="J48" s="212" t="s">
        <v>97</v>
      </c>
      <c r="K48" s="212" t="s">
        <v>51</v>
      </c>
      <c r="L48" s="217" t="s">
        <v>389</v>
      </c>
    </row>
    <row r="49" spans="1:12" ht="75" x14ac:dyDescent="0.25">
      <c r="A49" s="352">
        <v>5</v>
      </c>
      <c r="B49" s="219" t="s">
        <v>230</v>
      </c>
      <c r="C49" s="27">
        <v>10</v>
      </c>
      <c r="D49" s="308" t="s">
        <v>146</v>
      </c>
      <c r="E49" s="308" t="s">
        <v>245</v>
      </c>
      <c r="F49" s="308" t="s">
        <v>147</v>
      </c>
      <c r="G49" s="308" t="s">
        <v>149</v>
      </c>
      <c r="H49" s="340">
        <v>1</v>
      </c>
      <c r="I49" s="359" t="s">
        <v>148</v>
      </c>
      <c r="J49" s="341">
        <v>15182.66</v>
      </c>
      <c r="K49" s="360">
        <v>30</v>
      </c>
      <c r="L49" s="331" t="s">
        <v>446</v>
      </c>
    </row>
    <row r="50" spans="1:12" ht="75" x14ac:dyDescent="0.25">
      <c r="A50" s="352"/>
      <c r="B50" s="219" t="s">
        <v>231</v>
      </c>
      <c r="C50" s="27">
        <v>20</v>
      </c>
      <c r="D50" s="330"/>
      <c r="E50" s="308"/>
      <c r="F50" s="308"/>
      <c r="G50" s="308"/>
      <c r="H50" s="340"/>
      <c r="I50" s="359"/>
      <c r="J50" s="341"/>
      <c r="K50" s="360"/>
      <c r="L50" s="331"/>
    </row>
    <row r="51" spans="1:12" x14ac:dyDescent="0.25">
      <c r="A51" s="352"/>
      <c r="B51" s="17" t="s">
        <v>92</v>
      </c>
      <c r="C51" s="26">
        <v>30</v>
      </c>
      <c r="D51" s="330"/>
      <c r="E51" s="308"/>
      <c r="F51" s="308"/>
      <c r="G51" s="308"/>
      <c r="H51" s="340"/>
      <c r="I51" s="359"/>
      <c r="J51" s="341"/>
      <c r="K51" s="360"/>
      <c r="L51" s="331"/>
    </row>
    <row r="52" spans="1:12" x14ac:dyDescent="0.25">
      <c r="A52" s="352"/>
      <c r="B52" s="353" t="s">
        <v>109</v>
      </c>
      <c r="C52" s="353"/>
      <c r="D52" s="353"/>
      <c r="E52" s="353"/>
      <c r="F52" s="353"/>
      <c r="G52" s="353"/>
      <c r="H52" s="353"/>
      <c r="I52" s="353"/>
      <c r="J52" s="353"/>
      <c r="K52" s="353"/>
      <c r="L52" s="168"/>
    </row>
    <row r="53" spans="1:12" ht="30" x14ac:dyDescent="0.25">
      <c r="A53" s="352"/>
      <c r="B53" s="211" t="s">
        <v>91</v>
      </c>
      <c r="C53" s="212" t="s">
        <v>53</v>
      </c>
      <c r="D53" s="212" t="s">
        <v>93</v>
      </c>
      <c r="E53" s="212" t="s">
        <v>94</v>
      </c>
      <c r="F53" s="212" t="s">
        <v>95</v>
      </c>
      <c r="G53" s="211" t="s">
        <v>18</v>
      </c>
      <c r="H53" s="212" t="s">
        <v>96</v>
      </c>
      <c r="I53" s="212" t="s">
        <v>101</v>
      </c>
      <c r="J53" s="212" t="s">
        <v>97</v>
      </c>
      <c r="K53" s="212" t="s">
        <v>51</v>
      </c>
      <c r="L53" s="217" t="s">
        <v>389</v>
      </c>
    </row>
    <row r="54" spans="1:12" ht="75" x14ac:dyDescent="0.25">
      <c r="A54" s="352"/>
      <c r="B54" s="219" t="s">
        <v>234</v>
      </c>
      <c r="C54" s="27">
        <v>6</v>
      </c>
      <c r="D54" s="308" t="s">
        <v>150</v>
      </c>
      <c r="E54" s="308" t="s">
        <v>243</v>
      </c>
      <c r="F54" s="308" t="s">
        <v>344</v>
      </c>
      <c r="G54" s="308" t="s">
        <v>141</v>
      </c>
      <c r="H54" s="340">
        <v>1</v>
      </c>
      <c r="I54" s="363" t="s">
        <v>171</v>
      </c>
      <c r="J54" s="341">
        <v>6476.45</v>
      </c>
      <c r="K54" s="360">
        <v>19</v>
      </c>
      <c r="L54" s="331" t="s">
        <v>446</v>
      </c>
    </row>
    <row r="55" spans="1:12" ht="75" x14ac:dyDescent="0.25">
      <c r="A55" s="352"/>
      <c r="B55" s="219" t="s">
        <v>130</v>
      </c>
      <c r="C55" s="27">
        <v>14</v>
      </c>
      <c r="D55" s="330"/>
      <c r="E55" s="330"/>
      <c r="F55" s="308"/>
      <c r="G55" s="308"/>
      <c r="H55" s="340"/>
      <c r="I55" s="363"/>
      <c r="J55" s="341"/>
      <c r="K55" s="360"/>
      <c r="L55" s="331"/>
    </row>
    <row r="56" spans="1:12" x14ac:dyDescent="0.25">
      <c r="A56" s="352"/>
      <c r="B56" s="17" t="s">
        <v>92</v>
      </c>
      <c r="C56" s="26">
        <v>19</v>
      </c>
      <c r="D56" s="330"/>
      <c r="E56" s="330"/>
      <c r="F56" s="308"/>
      <c r="G56" s="308"/>
      <c r="H56" s="340"/>
      <c r="I56" s="363"/>
      <c r="J56" s="341"/>
      <c r="K56" s="360"/>
      <c r="L56" s="331"/>
    </row>
    <row r="57" spans="1:12" x14ac:dyDescent="0.25">
      <c r="A57" s="354" t="s">
        <v>69</v>
      </c>
      <c r="B57" s="353"/>
      <c r="C57" s="353"/>
      <c r="D57" s="353"/>
      <c r="E57" s="353"/>
      <c r="F57" s="353"/>
      <c r="G57" s="353"/>
      <c r="H57" s="353"/>
      <c r="I57" s="353"/>
      <c r="J57" s="353"/>
      <c r="K57" s="353"/>
      <c r="L57" s="168"/>
    </row>
    <row r="58" spans="1:12" x14ac:dyDescent="0.25">
      <c r="A58" s="354" t="s">
        <v>81</v>
      </c>
      <c r="B58" s="353"/>
      <c r="C58" s="353"/>
      <c r="D58" s="353"/>
      <c r="E58" s="353"/>
      <c r="F58" s="353"/>
      <c r="G58" s="353"/>
      <c r="H58" s="353"/>
      <c r="I58" s="353"/>
      <c r="J58" s="353"/>
      <c r="K58" s="353"/>
      <c r="L58" s="168"/>
    </row>
    <row r="59" spans="1:12" ht="30" x14ac:dyDescent="0.25">
      <c r="A59" s="216" t="s">
        <v>50</v>
      </c>
      <c r="B59" s="211" t="s">
        <v>91</v>
      </c>
      <c r="C59" s="212" t="s">
        <v>53</v>
      </c>
      <c r="D59" s="212" t="s">
        <v>93</v>
      </c>
      <c r="E59" s="212" t="s">
        <v>94</v>
      </c>
      <c r="F59" s="212" t="s">
        <v>95</v>
      </c>
      <c r="G59" s="211" t="s">
        <v>18</v>
      </c>
      <c r="H59" s="212" t="s">
        <v>96</v>
      </c>
      <c r="I59" s="212" t="s">
        <v>101</v>
      </c>
      <c r="J59" s="212" t="s">
        <v>97</v>
      </c>
      <c r="K59" s="212" t="s">
        <v>51</v>
      </c>
      <c r="L59" s="217" t="s">
        <v>389</v>
      </c>
    </row>
    <row r="60" spans="1:12" ht="90" customHeight="1" x14ac:dyDescent="0.25">
      <c r="A60" s="356">
        <v>6</v>
      </c>
      <c r="B60" s="219" t="s">
        <v>230</v>
      </c>
      <c r="C60" s="27">
        <v>10</v>
      </c>
      <c r="D60" s="220"/>
      <c r="E60" s="220"/>
      <c r="F60" s="220"/>
      <c r="G60" s="221"/>
      <c r="H60" s="220"/>
      <c r="I60" s="220"/>
      <c r="J60" s="220"/>
      <c r="K60" s="333" t="s">
        <v>87</v>
      </c>
      <c r="L60" s="355" t="s">
        <v>445</v>
      </c>
    </row>
    <row r="61" spans="1:12" ht="75" x14ac:dyDescent="0.25">
      <c r="A61" s="356"/>
      <c r="B61" s="219" t="s">
        <v>231</v>
      </c>
      <c r="C61" s="27">
        <v>20</v>
      </c>
      <c r="D61" s="220"/>
      <c r="E61" s="220"/>
      <c r="F61" s="220"/>
      <c r="G61" s="221"/>
      <c r="H61" s="220"/>
      <c r="I61" s="220"/>
      <c r="J61" s="220"/>
      <c r="K61" s="333"/>
      <c r="L61" s="355"/>
    </row>
    <row r="62" spans="1:12" x14ac:dyDescent="0.25">
      <c r="A62" s="356"/>
      <c r="B62" s="17" t="s">
        <v>92</v>
      </c>
      <c r="C62" s="26">
        <v>30</v>
      </c>
      <c r="D62" s="220"/>
      <c r="E62" s="220"/>
      <c r="F62" s="220"/>
      <c r="G62" s="221"/>
      <c r="H62" s="220"/>
      <c r="I62" s="220"/>
      <c r="J62" s="220"/>
      <c r="K62" s="333"/>
      <c r="L62" s="355"/>
    </row>
    <row r="63" spans="1:12" x14ac:dyDescent="0.25">
      <c r="A63" s="356"/>
      <c r="B63" s="353" t="s">
        <v>109</v>
      </c>
      <c r="C63" s="353"/>
      <c r="D63" s="353"/>
      <c r="E63" s="353"/>
      <c r="F63" s="353"/>
      <c r="G63" s="353"/>
      <c r="H63" s="353"/>
      <c r="I63" s="353"/>
      <c r="J63" s="353"/>
      <c r="K63" s="353"/>
      <c r="L63" s="168"/>
    </row>
    <row r="64" spans="1:12" ht="75" customHeight="1" x14ac:dyDescent="0.25">
      <c r="A64" s="356"/>
      <c r="B64" s="211" t="s">
        <v>91</v>
      </c>
      <c r="C64" s="212" t="s">
        <v>53</v>
      </c>
      <c r="D64" s="212" t="s">
        <v>93</v>
      </c>
      <c r="E64" s="212" t="s">
        <v>94</v>
      </c>
      <c r="F64" s="212" t="s">
        <v>95</v>
      </c>
      <c r="G64" s="211" t="s">
        <v>18</v>
      </c>
      <c r="H64" s="212" t="s">
        <v>96</v>
      </c>
      <c r="I64" s="212" t="s">
        <v>101</v>
      </c>
      <c r="J64" s="212" t="s">
        <v>97</v>
      </c>
      <c r="K64" s="212" t="s">
        <v>51</v>
      </c>
      <c r="L64" s="217" t="s">
        <v>389</v>
      </c>
    </row>
    <row r="65" spans="1:12" ht="75" x14ac:dyDescent="0.25">
      <c r="A65" s="356"/>
      <c r="B65" s="219" t="s">
        <v>234</v>
      </c>
      <c r="C65" s="27">
        <v>6</v>
      </c>
      <c r="D65" s="368"/>
      <c r="E65" s="368"/>
      <c r="F65" s="368"/>
      <c r="G65" s="368"/>
      <c r="H65" s="368"/>
      <c r="I65" s="368"/>
      <c r="J65" s="368"/>
      <c r="K65" s="351" t="s">
        <v>87</v>
      </c>
      <c r="L65" s="355" t="s">
        <v>445</v>
      </c>
    </row>
    <row r="66" spans="1:12" ht="75" x14ac:dyDescent="0.25">
      <c r="A66" s="356"/>
      <c r="B66" s="219" t="s">
        <v>130</v>
      </c>
      <c r="C66" s="27">
        <v>14</v>
      </c>
      <c r="D66" s="368"/>
      <c r="E66" s="368"/>
      <c r="F66" s="368"/>
      <c r="G66" s="368"/>
      <c r="H66" s="368"/>
      <c r="I66" s="368"/>
      <c r="J66" s="368"/>
      <c r="K66" s="351"/>
      <c r="L66" s="355"/>
    </row>
    <row r="67" spans="1:12" x14ac:dyDescent="0.25">
      <c r="A67" s="356"/>
      <c r="B67" s="17" t="s">
        <v>92</v>
      </c>
      <c r="C67" s="26">
        <v>19</v>
      </c>
      <c r="D67" s="368"/>
      <c r="E67" s="368"/>
      <c r="F67" s="368"/>
      <c r="G67" s="368"/>
      <c r="H67" s="368"/>
      <c r="I67" s="368"/>
      <c r="J67" s="368"/>
      <c r="K67" s="351"/>
      <c r="L67" s="355"/>
    </row>
    <row r="68" spans="1:12" x14ac:dyDescent="0.25">
      <c r="A68" s="354" t="s">
        <v>70</v>
      </c>
      <c r="B68" s="353"/>
      <c r="C68" s="353"/>
      <c r="D68" s="353"/>
      <c r="E68" s="353"/>
      <c r="F68" s="353"/>
      <c r="G68" s="353"/>
      <c r="H68" s="353"/>
      <c r="I68" s="353"/>
      <c r="J68" s="353"/>
      <c r="K68" s="353"/>
      <c r="L68" s="168"/>
    </row>
    <row r="69" spans="1:12" x14ac:dyDescent="0.25">
      <c r="A69" s="354" t="s">
        <v>81</v>
      </c>
      <c r="B69" s="353"/>
      <c r="C69" s="353"/>
      <c r="D69" s="353"/>
      <c r="E69" s="353"/>
      <c r="F69" s="353"/>
      <c r="G69" s="353"/>
      <c r="H69" s="353"/>
      <c r="I69" s="353"/>
      <c r="J69" s="353"/>
      <c r="K69" s="353"/>
      <c r="L69" s="168"/>
    </row>
    <row r="70" spans="1:12" ht="30" x14ac:dyDescent="0.25">
      <c r="A70" s="216" t="s">
        <v>50</v>
      </c>
      <c r="B70" s="211" t="s">
        <v>91</v>
      </c>
      <c r="C70" s="212" t="s">
        <v>53</v>
      </c>
      <c r="D70" s="212" t="s">
        <v>93</v>
      </c>
      <c r="E70" s="212" t="s">
        <v>94</v>
      </c>
      <c r="F70" s="212" t="s">
        <v>95</v>
      </c>
      <c r="G70" s="211" t="s">
        <v>18</v>
      </c>
      <c r="H70" s="212" t="s">
        <v>96</v>
      </c>
      <c r="I70" s="212" t="s">
        <v>101</v>
      </c>
      <c r="J70" s="212" t="s">
        <v>97</v>
      </c>
      <c r="K70" s="212" t="s">
        <v>51</v>
      </c>
      <c r="L70" s="217" t="s">
        <v>389</v>
      </c>
    </row>
    <row r="71" spans="1:12" ht="75" x14ac:dyDescent="0.25">
      <c r="A71" s="352">
        <v>7</v>
      </c>
      <c r="B71" s="219" t="s">
        <v>230</v>
      </c>
      <c r="C71" s="27">
        <v>10</v>
      </c>
      <c r="D71" s="308" t="s">
        <v>169</v>
      </c>
      <c r="E71" s="308" t="s">
        <v>246</v>
      </c>
      <c r="F71" s="308" t="s">
        <v>345</v>
      </c>
      <c r="G71" s="308" t="s">
        <v>160</v>
      </c>
      <c r="H71" s="340">
        <v>1</v>
      </c>
      <c r="I71" s="359" t="s">
        <v>170</v>
      </c>
      <c r="J71" s="334">
        <v>9450</v>
      </c>
      <c r="K71" s="344">
        <v>30</v>
      </c>
      <c r="L71" s="331" t="s">
        <v>394</v>
      </c>
    </row>
    <row r="72" spans="1:12" ht="75" x14ac:dyDescent="0.25">
      <c r="A72" s="352"/>
      <c r="B72" s="219" t="s">
        <v>231</v>
      </c>
      <c r="C72" s="27">
        <v>20</v>
      </c>
      <c r="D72" s="330"/>
      <c r="E72" s="330"/>
      <c r="F72" s="308"/>
      <c r="G72" s="308"/>
      <c r="H72" s="340"/>
      <c r="I72" s="359"/>
      <c r="J72" s="330"/>
      <c r="K72" s="344"/>
      <c r="L72" s="331"/>
    </row>
    <row r="73" spans="1:12" x14ac:dyDescent="0.25">
      <c r="A73" s="352"/>
      <c r="B73" s="17" t="s">
        <v>92</v>
      </c>
      <c r="C73" s="26">
        <v>30</v>
      </c>
      <c r="D73" s="330"/>
      <c r="E73" s="330"/>
      <c r="F73" s="308"/>
      <c r="G73" s="308"/>
      <c r="H73" s="340"/>
      <c r="I73" s="359"/>
      <c r="J73" s="330"/>
      <c r="K73" s="344"/>
      <c r="L73" s="331"/>
    </row>
    <row r="74" spans="1:12" x14ac:dyDescent="0.25">
      <c r="A74" s="352"/>
      <c r="B74" s="353" t="s">
        <v>109</v>
      </c>
      <c r="C74" s="353"/>
      <c r="D74" s="353"/>
      <c r="E74" s="353"/>
      <c r="F74" s="353"/>
      <c r="G74" s="353"/>
      <c r="H74" s="353"/>
      <c r="I74" s="353"/>
      <c r="J74" s="353"/>
      <c r="K74" s="353"/>
      <c r="L74" s="168"/>
    </row>
    <row r="75" spans="1:12" ht="30" x14ac:dyDescent="0.25">
      <c r="A75" s="352"/>
      <c r="B75" s="211" t="s">
        <v>91</v>
      </c>
      <c r="C75" s="212" t="s">
        <v>53</v>
      </c>
      <c r="D75" s="212" t="s">
        <v>93</v>
      </c>
      <c r="E75" s="212" t="s">
        <v>94</v>
      </c>
      <c r="F75" s="212" t="s">
        <v>95</v>
      </c>
      <c r="G75" s="211" t="s">
        <v>18</v>
      </c>
      <c r="H75" s="212" t="s">
        <v>96</v>
      </c>
      <c r="I75" s="212" t="s">
        <v>101</v>
      </c>
      <c r="J75" s="212" t="s">
        <v>97</v>
      </c>
      <c r="K75" s="212" t="s">
        <v>51</v>
      </c>
      <c r="L75" s="217" t="s">
        <v>389</v>
      </c>
    </row>
    <row r="76" spans="1:12" ht="75" x14ac:dyDescent="0.25">
      <c r="A76" s="352"/>
      <c r="B76" s="219" t="s">
        <v>234</v>
      </c>
      <c r="C76" s="27">
        <v>6</v>
      </c>
      <c r="D76" s="308" t="s">
        <v>169</v>
      </c>
      <c r="E76" s="308" t="s">
        <v>246</v>
      </c>
      <c r="F76" s="308" t="s">
        <v>345</v>
      </c>
      <c r="G76" s="308" t="s">
        <v>165</v>
      </c>
      <c r="H76" s="340">
        <v>1</v>
      </c>
      <c r="I76" s="359" t="s">
        <v>170</v>
      </c>
      <c r="J76" s="334">
        <v>9450</v>
      </c>
      <c r="K76" s="344">
        <v>19</v>
      </c>
      <c r="L76" s="331" t="s">
        <v>394</v>
      </c>
    </row>
    <row r="77" spans="1:12" ht="75" x14ac:dyDescent="0.25">
      <c r="A77" s="352"/>
      <c r="B77" s="219" t="s">
        <v>130</v>
      </c>
      <c r="C77" s="27">
        <v>14</v>
      </c>
      <c r="D77" s="330"/>
      <c r="E77" s="330"/>
      <c r="F77" s="308"/>
      <c r="G77" s="308"/>
      <c r="H77" s="340"/>
      <c r="I77" s="359"/>
      <c r="J77" s="330"/>
      <c r="K77" s="344"/>
      <c r="L77" s="331"/>
    </row>
    <row r="78" spans="1:12" ht="15.75" thickBot="1" x14ac:dyDescent="0.3">
      <c r="A78" s="367"/>
      <c r="B78" s="94" t="s">
        <v>92</v>
      </c>
      <c r="C78" s="43">
        <v>19</v>
      </c>
      <c r="D78" s="361"/>
      <c r="E78" s="361"/>
      <c r="F78" s="362"/>
      <c r="G78" s="362"/>
      <c r="H78" s="365"/>
      <c r="I78" s="366"/>
      <c r="J78" s="361"/>
      <c r="K78" s="364"/>
      <c r="L78" s="347"/>
    </row>
    <row r="81" spans="2:5" x14ac:dyDescent="0.25">
      <c r="B81" t="s">
        <v>449</v>
      </c>
    </row>
    <row r="84" spans="2:5" x14ac:dyDescent="0.25">
      <c r="B84" s="31" t="s">
        <v>450</v>
      </c>
      <c r="E84" s="31" t="s">
        <v>454</v>
      </c>
    </row>
    <row r="85" spans="2:5" x14ac:dyDescent="0.25">
      <c r="B85" t="s">
        <v>451</v>
      </c>
      <c r="E85" t="s">
        <v>453</v>
      </c>
    </row>
    <row r="89" spans="2:5" x14ac:dyDescent="0.25">
      <c r="B89" s="31" t="s">
        <v>452</v>
      </c>
      <c r="E89" s="31" t="s">
        <v>455</v>
      </c>
    </row>
    <row r="90" spans="2:5" x14ac:dyDescent="0.25">
      <c r="B90" t="s">
        <v>453</v>
      </c>
      <c r="E90" t="s">
        <v>451</v>
      </c>
    </row>
  </sheetData>
  <mergeCells count="142">
    <mergeCell ref="F71:F73"/>
    <mergeCell ref="G71:G73"/>
    <mergeCell ref="H71:H73"/>
    <mergeCell ref="I71:I73"/>
    <mergeCell ref="J71:J73"/>
    <mergeCell ref="K71:K73"/>
    <mergeCell ref="K60:K62"/>
    <mergeCell ref="D65:J67"/>
    <mergeCell ref="K38:K40"/>
    <mergeCell ref="B41:K41"/>
    <mergeCell ref="D43:D45"/>
    <mergeCell ref="E43:E45"/>
    <mergeCell ref="F43:F45"/>
    <mergeCell ref="G43:G45"/>
    <mergeCell ref="H43:H45"/>
    <mergeCell ref="I43:I45"/>
    <mergeCell ref="J43:J45"/>
    <mergeCell ref="K43:K45"/>
    <mergeCell ref="D38:D40"/>
    <mergeCell ref="E38:E40"/>
    <mergeCell ref="A46:K46"/>
    <mergeCell ref="A47:K47"/>
    <mergeCell ref="A49:A56"/>
    <mergeCell ref="D49:D51"/>
    <mergeCell ref="B74:K74"/>
    <mergeCell ref="D76:D78"/>
    <mergeCell ref="E76:E78"/>
    <mergeCell ref="F76:F78"/>
    <mergeCell ref="K54:K56"/>
    <mergeCell ref="A57:K57"/>
    <mergeCell ref="A58:K58"/>
    <mergeCell ref="E54:E56"/>
    <mergeCell ref="F54:F56"/>
    <mergeCell ref="G54:G56"/>
    <mergeCell ref="H54:H56"/>
    <mergeCell ref="I54:I56"/>
    <mergeCell ref="A60:A67"/>
    <mergeCell ref="B63:K63"/>
    <mergeCell ref="K76:K78"/>
    <mergeCell ref="G76:G78"/>
    <mergeCell ref="H76:H78"/>
    <mergeCell ref="I76:I78"/>
    <mergeCell ref="J76:J78"/>
    <mergeCell ref="A68:K68"/>
    <mergeCell ref="A69:K69"/>
    <mergeCell ref="A71:A78"/>
    <mergeCell ref="D71:D73"/>
    <mergeCell ref="E71:E73"/>
    <mergeCell ref="E49:E51"/>
    <mergeCell ref="F49:F51"/>
    <mergeCell ref="G49:G51"/>
    <mergeCell ref="H49:H51"/>
    <mergeCell ref="I49:I51"/>
    <mergeCell ref="J49:J51"/>
    <mergeCell ref="K49:K51"/>
    <mergeCell ref="B52:K52"/>
    <mergeCell ref="D54:D56"/>
    <mergeCell ref="J54:J56"/>
    <mergeCell ref="F38:F40"/>
    <mergeCell ref="G38:G40"/>
    <mergeCell ref="H38:H40"/>
    <mergeCell ref="I38:I40"/>
    <mergeCell ref="J38:J40"/>
    <mergeCell ref="B19:K19"/>
    <mergeCell ref="A35:K35"/>
    <mergeCell ref="E32:E34"/>
    <mergeCell ref="F32:F34"/>
    <mergeCell ref="G32:G34"/>
    <mergeCell ref="H32:H34"/>
    <mergeCell ref="I32:I34"/>
    <mergeCell ref="I27:I29"/>
    <mergeCell ref="J27:J29"/>
    <mergeCell ref="K27:K29"/>
    <mergeCell ref="A38:A45"/>
    <mergeCell ref="D21:D23"/>
    <mergeCell ref="E21:E23"/>
    <mergeCell ref="F21:F23"/>
    <mergeCell ref="G21:G23"/>
    <mergeCell ref="H21:H23"/>
    <mergeCell ref="I21:I23"/>
    <mergeCell ref="J21:J23"/>
    <mergeCell ref="A36:K36"/>
    <mergeCell ref="A13:K13"/>
    <mergeCell ref="A14:K14"/>
    <mergeCell ref="A24:K24"/>
    <mergeCell ref="A25:K25"/>
    <mergeCell ref="A27:A34"/>
    <mergeCell ref="D27:D29"/>
    <mergeCell ref="E27:E29"/>
    <mergeCell ref="F27:F29"/>
    <mergeCell ref="G27:G29"/>
    <mergeCell ref="B30:K30"/>
    <mergeCell ref="D32:D34"/>
    <mergeCell ref="J32:J34"/>
    <mergeCell ref="K32:K34"/>
    <mergeCell ref="H27:H29"/>
    <mergeCell ref="K21:K23"/>
    <mergeCell ref="D16:D18"/>
    <mergeCell ref="E16:E18"/>
    <mergeCell ref="F16:F18"/>
    <mergeCell ref="G16:G18"/>
    <mergeCell ref="H16:H18"/>
    <mergeCell ref="A16:A23"/>
    <mergeCell ref="I16:I18"/>
    <mergeCell ref="J16:J18"/>
    <mergeCell ref="K16:K18"/>
    <mergeCell ref="A1:L1"/>
    <mergeCell ref="K65:K67"/>
    <mergeCell ref="H10:H12"/>
    <mergeCell ref="I10:I12"/>
    <mergeCell ref="J10:J12"/>
    <mergeCell ref="K5:K7"/>
    <mergeCell ref="A5:A12"/>
    <mergeCell ref="B8:K8"/>
    <mergeCell ref="A2:K2"/>
    <mergeCell ref="A3:K3"/>
    <mergeCell ref="D10:D12"/>
    <mergeCell ref="E10:E12"/>
    <mergeCell ref="F10:F12"/>
    <mergeCell ref="G10:G12"/>
    <mergeCell ref="L60:L62"/>
    <mergeCell ref="L65:L67"/>
    <mergeCell ref="D5:D7"/>
    <mergeCell ref="E5:E7"/>
    <mergeCell ref="F5:F7"/>
    <mergeCell ref="G5:G7"/>
    <mergeCell ref="H5:H7"/>
    <mergeCell ref="I5:I7"/>
    <mergeCell ref="J5:J7"/>
    <mergeCell ref="K10:K12"/>
    <mergeCell ref="L71:L73"/>
    <mergeCell ref="L76:L78"/>
    <mergeCell ref="L5:L7"/>
    <mergeCell ref="L10:L12"/>
    <mergeCell ref="L38:L40"/>
    <mergeCell ref="L43:L45"/>
    <mergeCell ref="L32:L34"/>
    <mergeCell ref="L27:L29"/>
    <mergeCell ref="L21:L23"/>
    <mergeCell ref="L16:L18"/>
    <mergeCell ref="L49:L51"/>
    <mergeCell ref="L54:L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56"/>
  <sheetViews>
    <sheetView topLeftCell="A24" zoomScaleNormal="100" workbookViewId="0">
      <selection activeCell="C38" sqref="C38:E38"/>
    </sheetView>
  </sheetViews>
  <sheetFormatPr baseColWidth="10" defaultRowHeight="15" x14ac:dyDescent="0.25"/>
  <cols>
    <col min="1" max="1" width="26.7109375" customWidth="1"/>
    <col min="2" max="2" width="14.85546875" customWidth="1"/>
    <col min="3" max="3" width="42.28515625" customWidth="1"/>
    <col min="4" max="4" width="12.42578125" customWidth="1"/>
    <col min="5" max="5" width="18.28515625" customWidth="1"/>
    <col min="6" max="6" width="20.28515625" customWidth="1"/>
  </cols>
  <sheetData>
    <row r="1" spans="1:6" x14ac:dyDescent="0.25">
      <c r="A1" s="348" t="s">
        <v>54</v>
      </c>
      <c r="B1" s="349"/>
      <c r="C1" s="349"/>
      <c r="D1" s="349"/>
      <c r="E1" s="350"/>
    </row>
    <row r="2" spans="1:6" x14ac:dyDescent="0.25">
      <c r="A2" s="369"/>
      <c r="B2" s="370"/>
      <c r="C2" s="370"/>
      <c r="D2" s="370"/>
      <c r="E2" s="371"/>
    </row>
    <row r="3" spans="1:6" ht="17.25" customHeight="1" x14ac:dyDescent="0.25">
      <c r="A3" s="373" t="s">
        <v>55</v>
      </c>
      <c r="B3" s="374" t="s">
        <v>56</v>
      </c>
      <c r="C3" s="377" t="s">
        <v>64</v>
      </c>
      <c r="D3" s="377"/>
      <c r="E3" s="378"/>
      <c r="F3" s="11"/>
    </row>
    <row r="4" spans="1:6" x14ac:dyDescent="0.25">
      <c r="A4" s="373"/>
      <c r="B4" s="374"/>
      <c r="C4" s="222" t="s">
        <v>64</v>
      </c>
      <c r="D4" s="223" t="s">
        <v>523</v>
      </c>
      <c r="E4" s="225" t="s">
        <v>51</v>
      </c>
      <c r="F4" s="7"/>
    </row>
    <row r="5" spans="1:6" ht="22.5" customHeight="1" x14ac:dyDescent="0.25">
      <c r="A5" s="375" t="s">
        <v>57</v>
      </c>
      <c r="B5" s="376" t="s">
        <v>58</v>
      </c>
      <c r="C5" s="372" t="s">
        <v>236</v>
      </c>
      <c r="D5" s="330" t="s">
        <v>46</v>
      </c>
      <c r="E5" s="316" t="s">
        <v>58</v>
      </c>
    </row>
    <row r="6" spans="1:6" x14ac:dyDescent="0.25">
      <c r="A6" s="375"/>
      <c r="B6" s="376"/>
      <c r="C6" s="372"/>
      <c r="D6" s="330"/>
      <c r="E6" s="316"/>
    </row>
    <row r="7" spans="1:6" ht="48" customHeight="1" x14ac:dyDescent="0.25">
      <c r="A7" s="375" t="s">
        <v>59</v>
      </c>
      <c r="B7" s="376" t="s">
        <v>60</v>
      </c>
      <c r="C7" s="372"/>
      <c r="D7" s="330"/>
      <c r="E7" s="316"/>
    </row>
    <row r="8" spans="1:6" x14ac:dyDescent="0.25">
      <c r="A8" s="375"/>
      <c r="B8" s="376"/>
      <c r="C8" s="372"/>
      <c r="D8" s="330"/>
      <c r="E8" s="316"/>
    </row>
    <row r="9" spans="1:6" x14ac:dyDescent="0.25">
      <c r="A9" s="382" t="s">
        <v>55</v>
      </c>
      <c r="B9" s="383" t="s">
        <v>56</v>
      </c>
      <c r="C9" s="379" t="s">
        <v>65</v>
      </c>
      <c r="D9" s="379"/>
      <c r="E9" s="380"/>
    </row>
    <row r="10" spans="1:6" x14ac:dyDescent="0.25">
      <c r="A10" s="382"/>
      <c r="B10" s="383"/>
      <c r="C10" s="224" t="s">
        <v>65</v>
      </c>
      <c r="D10" s="224" t="s">
        <v>523</v>
      </c>
      <c r="E10" s="226" t="s">
        <v>51</v>
      </c>
    </row>
    <row r="11" spans="1:6" ht="30.75" customHeight="1" x14ac:dyDescent="0.25">
      <c r="A11" s="69" t="s">
        <v>57</v>
      </c>
      <c r="B11" s="163" t="s">
        <v>58</v>
      </c>
      <c r="C11" s="320" t="s">
        <v>287</v>
      </c>
      <c r="D11" s="320" t="s">
        <v>46</v>
      </c>
      <c r="E11" s="385" t="s">
        <v>58</v>
      </c>
    </row>
    <row r="12" spans="1:6" ht="111.75" customHeight="1" x14ac:dyDescent="0.25">
      <c r="A12" s="37" t="s">
        <v>59</v>
      </c>
      <c r="B12" s="26" t="s">
        <v>60</v>
      </c>
      <c r="C12" s="320"/>
      <c r="D12" s="320"/>
      <c r="E12" s="385"/>
    </row>
    <row r="13" spans="1:6" x14ac:dyDescent="0.25">
      <c r="A13" s="382" t="s">
        <v>55</v>
      </c>
      <c r="B13" s="383" t="s">
        <v>56</v>
      </c>
      <c r="C13" s="377" t="s">
        <v>66</v>
      </c>
      <c r="D13" s="377"/>
      <c r="E13" s="378"/>
    </row>
    <row r="14" spans="1:6" x14ac:dyDescent="0.25">
      <c r="A14" s="382"/>
      <c r="B14" s="383"/>
      <c r="C14" s="222" t="s">
        <v>66</v>
      </c>
      <c r="D14" s="224" t="s">
        <v>523</v>
      </c>
      <c r="E14" s="225" t="s">
        <v>51</v>
      </c>
    </row>
    <row r="15" spans="1:6" ht="15" customHeight="1" x14ac:dyDescent="0.25">
      <c r="A15" s="375" t="s">
        <v>57</v>
      </c>
      <c r="B15" s="376" t="s">
        <v>58</v>
      </c>
      <c r="C15" s="308" t="s">
        <v>347</v>
      </c>
      <c r="D15" s="308" t="s">
        <v>46</v>
      </c>
      <c r="E15" s="381" t="s">
        <v>316</v>
      </c>
    </row>
    <row r="16" spans="1:6" x14ac:dyDescent="0.25">
      <c r="A16" s="375"/>
      <c r="B16" s="376"/>
      <c r="C16" s="308"/>
      <c r="D16" s="308"/>
      <c r="E16" s="381"/>
    </row>
    <row r="17" spans="1:5" x14ac:dyDescent="0.25">
      <c r="A17" s="375" t="s">
        <v>59</v>
      </c>
      <c r="B17" s="376" t="s">
        <v>60</v>
      </c>
      <c r="C17" s="308"/>
      <c r="D17" s="308"/>
      <c r="E17" s="381"/>
    </row>
    <row r="18" spans="1:5" ht="45.75" customHeight="1" x14ac:dyDescent="0.25">
      <c r="A18" s="375"/>
      <c r="B18" s="376"/>
      <c r="C18" s="308"/>
      <c r="D18" s="308"/>
      <c r="E18" s="381"/>
    </row>
    <row r="19" spans="1:5" x14ac:dyDescent="0.25">
      <c r="A19" s="382" t="s">
        <v>55</v>
      </c>
      <c r="B19" s="383" t="s">
        <v>56</v>
      </c>
      <c r="C19" s="377" t="s">
        <v>67</v>
      </c>
      <c r="D19" s="377"/>
      <c r="E19" s="378"/>
    </row>
    <row r="20" spans="1:5" ht="15.75" customHeight="1" x14ac:dyDescent="0.25">
      <c r="A20" s="382"/>
      <c r="B20" s="383"/>
      <c r="C20" s="224" t="s">
        <v>67</v>
      </c>
      <c r="D20" s="224" t="s">
        <v>523</v>
      </c>
      <c r="E20" s="225" t="s">
        <v>51</v>
      </c>
    </row>
    <row r="21" spans="1:5" ht="15" customHeight="1" x14ac:dyDescent="0.25">
      <c r="A21" s="375" t="s">
        <v>57</v>
      </c>
      <c r="B21" s="376" t="s">
        <v>58</v>
      </c>
      <c r="C21" s="391" t="s">
        <v>311</v>
      </c>
      <c r="D21" s="391" t="s">
        <v>46</v>
      </c>
      <c r="E21" s="381" t="s">
        <v>525</v>
      </c>
    </row>
    <row r="22" spans="1:5" ht="63" customHeight="1" x14ac:dyDescent="0.25">
      <c r="A22" s="375"/>
      <c r="B22" s="376"/>
      <c r="C22" s="391"/>
      <c r="D22" s="391"/>
      <c r="E22" s="381"/>
    </row>
    <row r="23" spans="1:5" ht="95.25" customHeight="1" x14ac:dyDescent="0.25">
      <c r="A23" s="375" t="s">
        <v>59</v>
      </c>
      <c r="B23" s="376" t="s">
        <v>60</v>
      </c>
      <c r="C23" s="391"/>
      <c r="D23" s="391"/>
      <c r="E23" s="381"/>
    </row>
    <row r="24" spans="1:5" x14ac:dyDescent="0.25">
      <c r="A24" s="375"/>
      <c r="B24" s="376"/>
      <c r="C24" s="391" t="s">
        <v>312</v>
      </c>
      <c r="D24" s="391"/>
      <c r="E24" s="381"/>
    </row>
    <row r="25" spans="1:5" ht="114.75" customHeight="1" x14ac:dyDescent="0.25">
      <c r="A25" s="375"/>
      <c r="B25" s="376"/>
      <c r="C25" s="391"/>
      <c r="D25" s="391"/>
      <c r="E25" s="381"/>
    </row>
    <row r="26" spans="1:5" x14ac:dyDescent="0.25">
      <c r="A26" s="227"/>
      <c r="B26" s="224"/>
      <c r="C26" s="377" t="s">
        <v>255</v>
      </c>
      <c r="D26" s="377"/>
      <c r="E26" s="378"/>
    </row>
    <row r="27" spans="1:5" x14ac:dyDescent="0.25">
      <c r="A27" s="227"/>
      <c r="B27" s="224"/>
      <c r="C27" s="224" t="s">
        <v>255</v>
      </c>
      <c r="D27" s="224" t="s">
        <v>523</v>
      </c>
      <c r="E27" s="225" t="s">
        <v>51</v>
      </c>
    </row>
    <row r="28" spans="1:5" x14ac:dyDescent="0.25">
      <c r="A28" s="375" t="s">
        <v>57</v>
      </c>
      <c r="B28" s="376" t="s">
        <v>58</v>
      </c>
      <c r="C28" s="384" t="s">
        <v>237</v>
      </c>
      <c r="D28" s="393" t="s">
        <v>46</v>
      </c>
      <c r="E28" s="385" t="s">
        <v>58</v>
      </c>
    </row>
    <row r="29" spans="1:5" ht="24.75" customHeight="1" x14ac:dyDescent="0.25">
      <c r="A29" s="375"/>
      <c r="B29" s="376"/>
      <c r="C29" s="384"/>
      <c r="D29" s="393"/>
      <c r="E29" s="385"/>
    </row>
    <row r="30" spans="1:5" x14ac:dyDescent="0.25">
      <c r="A30" s="375" t="s">
        <v>59</v>
      </c>
      <c r="B30" s="376" t="s">
        <v>60</v>
      </c>
      <c r="C30" s="384"/>
      <c r="D30" s="393"/>
      <c r="E30" s="385"/>
    </row>
    <row r="31" spans="1:5" ht="49.5" customHeight="1" x14ac:dyDescent="0.25">
      <c r="A31" s="375"/>
      <c r="B31" s="376"/>
      <c r="C31" s="384"/>
      <c r="D31" s="393"/>
      <c r="E31" s="385"/>
    </row>
    <row r="32" spans="1:5" x14ac:dyDescent="0.25">
      <c r="A32" s="227"/>
      <c r="B32" s="224"/>
      <c r="C32" s="377" t="s">
        <v>69</v>
      </c>
      <c r="D32" s="377"/>
      <c r="E32" s="378"/>
    </row>
    <row r="33" spans="1:5" x14ac:dyDescent="0.25">
      <c r="A33" s="227"/>
      <c r="B33" s="224"/>
      <c r="C33" s="224" t="s">
        <v>69</v>
      </c>
      <c r="D33" s="224" t="s">
        <v>523</v>
      </c>
      <c r="E33" s="225" t="s">
        <v>51</v>
      </c>
    </row>
    <row r="34" spans="1:5" ht="15" customHeight="1" x14ac:dyDescent="0.25">
      <c r="A34" s="375" t="s">
        <v>57</v>
      </c>
      <c r="B34" s="376" t="s">
        <v>58</v>
      </c>
      <c r="C34" s="392" t="s">
        <v>383</v>
      </c>
      <c r="D34" s="391" t="s">
        <v>46</v>
      </c>
      <c r="E34" s="385" t="s">
        <v>58</v>
      </c>
    </row>
    <row r="35" spans="1:5" x14ac:dyDescent="0.25">
      <c r="A35" s="375"/>
      <c r="B35" s="376"/>
      <c r="C35" s="392"/>
      <c r="D35" s="391"/>
      <c r="E35" s="385"/>
    </row>
    <row r="36" spans="1:5" x14ac:dyDescent="0.25">
      <c r="A36" s="375" t="s">
        <v>59</v>
      </c>
      <c r="B36" s="376" t="s">
        <v>60</v>
      </c>
      <c r="C36" s="392"/>
      <c r="D36" s="391"/>
      <c r="E36" s="385"/>
    </row>
    <row r="37" spans="1:5" ht="30.75" customHeight="1" x14ac:dyDescent="0.25">
      <c r="A37" s="375"/>
      <c r="B37" s="376"/>
      <c r="C37" s="392"/>
      <c r="D37" s="391"/>
      <c r="E37" s="385"/>
    </row>
    <row r="38" spans="1:5" x14ac:dyDescent="0.25">
      <c r="A38" s="228"/>
      <c r="B38" s="222"/>
      <c r="C38" s="377" t="s">
        <v>70</v>
      </c>
      <c r="D38" s="377"/>
      <c r="E38" s="378"/>
    </row>
    <row r="39" spans="1:5" x14ac:dyDescent="0.25">
      <c r="A39" s="228"/>
      <c r="B39" s="222"/>
      <c r="C39" s="224" t="s">
        <v>70</v>
      </c>
      <c r="D39" s="224" t="s">
        <v>523</v>
      </c>
      <c r="E39" s="225" t="s">
        <v>51</v>
      </c>
    </row>
    <row r="40" spans="1:5" x14ac:dyDescent="0.25">
      <c r="A40" s="375" t="s">
        <v>57</v>
      </c>
      <c r="B40" s="376" t="s">
        <v>58</v>
      </c>
      <c r="C40" s="386" t="s">
        <v>348</v>
      </c>
      <c r="D40" s="386" t="s">
        <v>46</v>
      </c>
      <c r="E40" s="385" t="s">
        <v>58</v>
      </c>
    </row>
    <row r="41" spans="1:5" x14ac:dyDescent="0.25">
      <c r="A41" s="375"/>
      <c r="B41" s="376"/>
      <c r="C41" s="386"/>
      <c r="D41" s="386"/>
      <c r="E41" s="385"/>
    </row>
    <row r="42" spans="1:5" x14ac:dyDescent="0.25">
      <c r="A42" s="375" t="s">
        <v>59</v>
      </c>
      <c r="B42" s="376" t="s">
        <v>60</v>
      </c>
      <c r="C42" s="386"/>
      <c r="D42" s="386"/>
      <c r="E42" s="385"/>
    </row>
    <row r="43" spans="1:5" ht="46.5" customHeight="1" thickBot="1" x14ac:dyDescent="0.3">
      <c r="A43" s="389"/>
      <c r="B43" s="390"/>
      <c r="C43" s="387"/>
      <c r="D43" s="387"/>
      <c r="E43" s="388"/>
    </row>
    <row r="47" spans="1:5" x14ac:dyDescent="0.25">
      <c r="A47" t="s">
        <v>449</v>
      </c>
    </row>
    <row r="50" spans="1:4" x14ac:dyDescent="0.25">
      <c r="A50" s="31" t="s">
        <v>450</v>
      </c>
      <c r="C50" s="31" t="s">
        <v>454</v>
      </c>
      <c r="D50" s="124"/>
    </row>
    <row r="51" spans="1:4" x14ac:dyDescent="0.25">
      <c r="A51" t="s">
        <v>451</v>
      </c>
      <c r="C51" t="s">
        <v>453</v>
      </c>
    </row>
    <row r="55" spans="1:4" x14ac:dyDescent="0.25">
      <c r="A55" s="31" t="s">
        <v>452</v>
      </c>
      <c r="C55" s="31" t="s">
        <v>455</v>
      </c>
      <c r="D55" s="124"/>
    </row>
    <row r="56" spans="1:4" x14ac:dyDescent="0.25">
      <c r="A56" t="s">
        <v>453</v>
      </c>
      <c r="C56" t="s">
        <v>451</v>
      </c>
    </row>
  </sheetData>
  <mergeCells count="62">
    <mergeCell ref="D21:D25"/>
    <mergeCell ref="D28:D31"/>
    <mergeCell ref="D34:D37"/>
    <mergeCell ref="D40:D43"/>
    <mergeCell ref="C32:E32"/>
    <mergeCell ref="E34:E37"/>
    <mergeCell ref="C38:E38"/>
    <mergeCell ref="C26:E26"/>
    <mergeCell ref="A34:A35"/>
    <mergeCell ref="B34:B35"/>
    <mergeCell ref="A36:A37"/>
    <mergeCell ref="B36:B37"/>
    <mergeCell ref="C34:C37"/>
    <mergeCell ref="A23:A25"/>
    <mergeCell ref="B23:B25"/>
    <mergeCell ref="C11:C12"/>
    <mergeCell ref="E11:E12"/>
    <mergeCell ref="E21:E25"/>
    <mergeCell ref="C21:C23"/>
    <mergeCell ref="C24:C25"/>
    <mergeCell ref="C19:E19"/>
    <mergeCell ref="A21:A22"/>
    <mergeCell ref="B21:B22"/>
    <mergeCell ref="A13:A14"/>
    <mergeCell ref="B13:B14"/>
    <mergeCell ref="A19:A20"/>
    <mergeCell ref="B19:B20"/>
    <mergeCell ref="D11:D12"/>
    <mergeCell ref="D15:D18"/>
    <mergeCell ref="A40:A41"/>
    <mergeCell ref="B40:B41"/>
    <mergeCell ref="C40:C43"/>
    <mergeCell ref="E40:E43"/>
    <mergeCell ref="A42:A43"/>
    <mergeCell ref="B42:B43"/>
    <mergeCell ref="A28:A29"/>
    <mergeCell ref="B28:B29"/>
    <mergeCell ref="C28:C31"/>
    <mergeCell ref="E28:E31"/>
    <mergeCell ref="A30:A31"/>
    <mergeCell ref="B30:B31"/>
    <mergeCell ref="C9:E9"/>
    <mergeCell ref="C13:E13"/>
    <mergeCell ref="C15:C18"/>
    <mergeCell ref="E15:E18"/>
    <mergeCell ref="A15:A16"/>
    <mergeCell ref="B15:B16"/>
    <mergeCell ref="A17:A18"/>
    <mergeCell ref="B17:B18"/>
    <mergeCell ref="A9:A10"/>
    <mergeCell ref="B9:B10"/>
    <mergeCell ref="A1:E2"/>
    <mergeCell ref="C5:C8"/>
    <mergeCell ref="E5:E8"/>
    <mergeCell ref="A3:A4"/>
    <mergeCell ref="B3:B4"/>
    <mergeCell ref="A5:A6"/>
    <mergeCell ref="B5:B6"/>
    <mergeCell ref="A7:A8"/>
    <mergeCell ref="B7:B8"/>
    <mergeCell ref="C3:E3"/>
    <mergeCell ref="D5:D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34"/>
  <sheetViews>
    <sheetView topLeftCell="A14" zoomScale="60" zoomScaleNormal="60" workbookViewId="0">
      <selection activeCell="C22" sqref="C22"/>
    </sheetView>
  </sheetViews>
  <sheetFormatPr baseColWidth="10" defaultRowHeight="15" x14ac:dyDescent="0.25"/>
  <cols>
    <col min="1" max="1" width="44.85546875" customWidth="1"/>
    <col min="2" max="2" width="45.140625" customWidth="1"/>
    <col min="3" max="3" width="15.42578125" customWidth="1"/>
    <col min="4" max="4" width="33" customWidth="1"/>
  </cols>
  <sheetData>
    <row r="1" spans="1:4" ht="33.75" x14ac:dyDescent="0.5">
      <c r="A1" s="394" t="s">
        <v>447</v>
      </c>
      <c r="B1" s="395"/>
      <c r="C1" s="395"/>
      <c r="D1" s="396"/>
    </row>
    <row r="2" spans="1:4" ht="18.75" x14ac:dyDescent="0.3">
      <c r="A2" s="216" t="s">
        <v>52</v>
      </c>
      <c r="B2" s="400" t="s">
        <v>64</v>
      </c>
      <c r="C2" s="400"/>
      <c r="D2" s="233" t="s">
        <v>51</v>
      </c>
    </row>
    <row r="3" spans="1:4" ht="105" customHeight="1" x14ac:dyDescent="0.25">
      <c r="A3" s="234" t="s">
        <v>61</v>
      </c>
      <c r="B3" s="62" t="s">
        <v>238</v>
      </c>
      <c r="C3" s="27" t="s">
        <v>46</v>
      </c>
      <c r="D3" s="316" t="s">
        <v>63</v>
      </c>
    </row>
    <row r="4" spans="1:4" ht="195.75" customHeight="1" x14ac:dyDescent="0.25">
      <c r="A4" s="234" t="s">
        <v>62</v>
      </c>
      <c r="B4" s="62" t="s">
        <v>522</v>
      </c>
      <c r="C4" s="27" t="s">
        <v>46</v>
      </c>
      <c r="D4" s="316"/>
    </row>
    <row r="5" spans="1:4" x14ac:dyDescent="0.25">
      <c r="A5" s="216" t="s">
        <v>52</v>
      </c>
      <c r="B5" s="377" t="s">
        <v>65</v>
      </c>
      <c r="C5" s="377"/>
      <c r="D5" s="235" t="s">
        <v>51</v>
      </c>
    </row>
    <row r="6" spans="1:4" ht="123" customHeight="1" x14ac:dyDescent="0.25">
      <c r="A6" s="234" t="s">
        <v>61</v>
      </c>
      <c r="B6" s="62" t="s">
        <v>456</v>
      </c>
      <c r="C6" s="27" t="s">
        <v>46</v>
      </c>
      <c r="D6" s="316" t="s">
        <v>63</v>
      </c>
    </row>
    <row r="7" spans="1:4" ht="165" x14ac:dyDescent="0.25">
      <c r="A7" s="234" t="s">
        <v>62</v>
      </c>
      <c r="B7" s="62" t="s">
        <v>457</v>
      </c>
      <c r="C7" s="27" t="s">
        <v>46</v>
      </c>
      <c r="D7" s="316"/>
    </row>
    <row r="8" spans="1:4" x14ac:dyDescent="0.25">
      <c r="A8" s="216" t="s">
        <v>52</v>
      </c>
      <c r="B8" s="377" t="s">
        <v>66</v>
      </c>
      <c r="C8" s="377"/>
      <c r="D8" s="233" t="s">
        <v>51</v>
      </c>
    </row>
    <row r="9" spans="1:4" ht="105.75" customHeight="1" x14ac:dyDescent="0.25">
      <c r="A9" s="234" t="s">
        <v>61</v>
      </c>
      <c r="B9" s="36" t="s">
        <v>249</v>
      </c>
      <c r="C9" s="27" t="s">
        <v>46</v>
      </c>
      <c r="D9" s="381" t="s">
        <v>316</v>
      </c>
    </row>
    <row r="10" spans="1:4" ht="180.75" customHeight="1" x14ac:dyDescent="0.25">
      <c r="A10" s="234" t="s">
        <v>62</v>
      </c>
      <c r="B10" s="36" t="s">
        <v>250</v>
      </c>
      <c r="C10" s="27" t="s">
        <v>46</v>
      </c>
      <c r="D10" s="381"/>
    </row>
    <row r="11" spans="1:4" x14ac:dyDescent="0.25">
      <c r="A11" s="236"/>
      <c r="B11" s="224" t="s">
        <v>67</v>
      </c>
      <c r="C11" s="229"/>
      <c r="D11" s="237"/>
    </row>
    <row r="12" spans="1:4" ht="108.75" customHeight="1" x14ac:dyDescent="0.25">
      <c r="A12" s="34" t="s">
        <v>61</v>
      </c>
      <c r="B12" s="36" t="s">
        <v>458</v>
      </c>
      <c r="C12" s="230" t="s">
        <v>46</v>
      </c>
      <c r="D12" s="401" t="s">
        <v>525</v>
      </c>
    </row>
    <row r="13" spans="1:4" ht="185.25" customHeight="1" x14ac:dyDescent="0.25">
      <c r="A13" s="34" t="s">
        <v>62</v>
      </c>
      <c r="B13" s="36" t="s">
        <v>459</v>
      </c>
      <c r="C13" s="230" t="s">
        <v>46</v>
      </c>
      <c r="D13" s="401"/>
    </row>
    <row r="14" spans="1:4" x14ac:dyDescent="0.25">
      <c r="A14" s="236"/>
      <c r="B14" s="377" t="s">
        <v>255</v>
      </c>
      <c r="C14" s="377"/>
      <c r="D14" s="233" t="s">
        <v>51</v>
      </c>
    </row>
    <row r="15" spans="1:4" ht="110.25" customHeight="1" x14ac:dyDescent="0.25">
      <c r="A15" s="234" t="s">
        <v>61</v>
      </c>
      <c r="B15" s="62" t="s">
        <v>239</v>
      </c>
      <c r="C15" s="27" t="s">
        <v>46</v>
      </c>
      <c r="D15" s="397" t="s">
        <v>63</v>
      </c>
    </row>
    <row r="16" spans="1:4" ht="198" customHeight="1" x14ac:dyDescent="0.25">
      <c r="A16" s="234" t="s">
        <v>62</v>
      </c>
      <c r="B16" s="62" t="s">
        <v>241</v>
      </c>
      <c r="C16" s="27" t="s">
        <v>46</v>
      </c>
      <c r="D16" s="397"/>
    </row>
    <row r="17" spans="1:4" x14ac:dyDescent="0.25">
      <c r="A17" s="236"/>
      <c r="B17" s="223" t="s">
        <v>69</v>
      </c>
      <c r="C17" s="222"/>
      <c r="D17" s="233" t="s">
        <v>51</v>
      </c>
    </row>
    <row r="18" spans="1:4" ht="119.25" customHeight="1" x14ac:dyDescent="0.25">
      <c r="A18" s="234" t="s">
        <v>61</v>
      </c>
      <c r="B18" s="231" t="s">
        <v>460</v>
      </c>
      <c r="C18" s="232" t="s">
        <v>46</v>
      </c>
      <c r="D18" s="397" t="s">
        <v>63</v>
      </c>
    </row>
    <row r="19" spans="1:4" ht="105.75" customHeight="1" x14ac:dyDescent="0.25">
      <c r="A19" s="234" t="s">
        <v>62</v>
      </c>
      <c r="B19" s="231" t="s">
        <v>384</v>
      </c>
      <c r="C19" s="232" t="s">
        <v>46</v>
      </c>
      <c r="D19" s="397"/>
    </row>
    <row r="20" spans="1:4" x14ac:dyDescent="0.25">
      <c r="A20" s="236"/>
      <c r="B20" s="377" t="s">
        <v>70</v>
      </c>
      <c r="C20" s="377"/>
      <c r="D20" s="233" t="s">
        <v>51</v>
      </c>
    </row>
    <row r="21" spans="1:4" ht="113.25" customHeight="1" x14ac:dyDescent="0.25">
      <c r="A21" s="234" t="s">
        <v>61</v>
      </c>
      <c r="B21" s="36" t="s">
        <v>240</v>
      </c>
      <c r="C21" s="27" t="s">
        <v>172</v>
      </c>
      <c r="D21" s="398" t="s">
        <v>63</v>
      </c>
    </row>
    <row r="22" spans="1:4" ht="195" customHeight="1" thickBot="1" x14ac:dyDescent="0.3">
      <c r="A22" s="44" t="s">
        <v>62</v>
      </c>
      <c r="B22" s="45" t="s">
        <v>242</v>
      </c>
      <c r="C22" s="42" t="s">
        <v>172</v>
      </c>
      <c r="D22" s="399"/>
    </row>
    <row r="25" spans="1:4" x14ac:dyDescent="0.25">
      <c r="A25" t="s">
        <v>449</v>
      </c>
    </row>
    <row r="28" spans="1:4" x14ac:dyDescent="0.25">
      <c r="A28" s="31" t="s">
        <v>450</v>
      </c>
      <c r="C28" s="31" t="s">
        <v>454</v>
      </c>
    </row>
    <row r="29" spans="1:4" x14ac:dyDescent="0.25">
      <c r="A29" t="s">
        <v>451</v>
      </c>
      <c r="C29" t="s">
        <v>453</v>
      </c>
    </row>
    <row r="33" spans="1:3" x14ac:dyDescent="0.25">
      <c r="A33" s="31" t="s">
        <v>452</v>
      </c>
      <c r="C33" s="31" t="s">
        <v>455</v>
      </c>
    </row>
    <row r="34" spans="1:3" x14ac:dyDescent="0.25">
      <c r="A34" t="s">
        <v>453</v>
      </c>
      <c r="C34" t="s">
        <v>451</v>
      </c>
    </row>
  </sheetData>
  <mergeCells count="13">
    <mergeCell ref="A1:D1"/>
    <mergeCell ref="B14:C14"/>
    <mergeCell ref="D15:D16"/>
    <mergeCell ref="B20:C20"/>
    <mergeCell ref="D21:D22"/>
    <mergeCell ref="B2:C2"/>
    <mergeCell ref="D3:D4"/>
    <mergeCell ref="B5:C5"/>
    <mergeCell ref="B8:C8"/>
    <mergeCell ref="D9:D10"/>
    <mergeCell ref="D6:D7"/>
    <mergeCell ref="D12:D13"/>
    <mergeCell ref="D18:D1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K22"/>
  <sheetViews>
    <sheetView zoomScale="120" zoomScaleNormal="120" workbookViewId="0">
      <selection activeCell="C15" sqref="C15"/>
    </sheetView>
  </sheetViews>
  <sheetFormatPr baseColWidth="10" defaultRowHeight="15" x14ac:dyDescent="0.25"/>
  <cols>
    <col min="1" max="1" width="17.28515625" customWidth="1"/>
    <col min="2" max="2" width="38.42578125" customWidth="1"/>
    <col min="3" max="3" width="25.140625" customWidth="1"/>
    <col min="4" max="4" width="28.42578125" customWidth="1"/>
    <col min="5" max="5" width="11.28515625" bestFit="1" customWidth="1"/>
    <col min="6" max="6" width="20.140625" customWidth="1"/>
  </cols>
  <sheetData>
    <row r="1" spans="1:11" ht="15.75" thickBot="1" x14ac:dyDescent="0.3">
      <c r="J1" t="s">
        <v>46</v>
      </c>
      <c r="K1" t="s">
        <v>0</v>
      </c>
    </row>
    <row r="2" spans="1:11" x14ac:dyDescent="0.25">
      <c r="A2" s="244" t="s">
        <v>114</v>
      </c>
      <c r="B2" s="245" t="s">
        <v>50</v>
      </c>
      <c r="C2" s="245" t="s">
        <v>112</v>
      </c>
      <c r="D2" s="245" t="s">
        <v>113</v>
      </c>
      <c r="E2" s="239" t="s">
        <v>448</v>
      </c>
      <c r="F2" s="246" t="s">
        <v>528</v>
      </c>
    </row>
    <row r="3" spans="1:11" x14ac:dyDescent="0.25">
      <c r="A3" s="108">
        <v>1</v>
      </c>
      <c r="B3" s="17" t="s">
        <v>64</v>
      </c>
      <c r="C3" s="402" t="s">
        <v>115</v>
      </c>
      <c r="D3" s="92">
        <v>532873075</v>
      </c>
      <c r="E3" s="238" t="s">
        <v>46</v>
      </c>
      <c r="F3" s="240" t="s">
        <v>394</v>
      </c>
    </row>
    <row r="4" spans="1:11" x14ac:dyDescent="0.25">
      <c r="A4" s="108">
        <v>2</v>
      </c>
      <c r="B4" s="17" t="s">
        <v>65</v>
      </c>
      <c r="C4" s="402"/>
      <c r="D4" s="92">
        <v>531053684</v>
      </c>
      <c r="E4" s="238" t="s">
        <v>46</v>
      </c>
      <c r="F4" s="240" t="s">
        <v>394</v>
      </c>
    </row>
    <row r="5" spans="1:11" x14ac:dyDescent="0.25">
      <c r="A5" s="108">
        <v>3</v>
      </c>
      <c r="B5" s="17" t="s">
        <v>66</v>
      </c>
      <c r="C5" s="402"/>
      <c r="D5" s="92">
        <v>532941500</v>
      </c>
      <c r="E5" s="238" t="s">
        <v>46</v>
      </c>
      <c r="F5" s="241" t="s">
        <v>398</v>
      </c>
    </row>
    <row r="6" spans="1:11" x14ac:dyDescent="0.25">
      <c r="A6" s="108">
        <v>4</v>
      </c>
      <c r="B6" s="17" t="s">
        <v>67</v>
      </c>
      <c r="C6" s="402"/>
      <c r="D6" s="93">
        <v>532729490</v>
      </c>
      <c r="E6" s="238" t="s">
        <v>46</v>
      </c>
      <c r="F6" s="241" t="s">
        <v>398</v>
      </c>
    </row>
    <row r="7" spans="1:11" x14ac:dyDescent="0.25">
      <c r="A7" s="108">
        <v>5</v>
      </c>
      <c r="B7" s="17" t="s">
        <v>255</v>
      </c>
      <c r="C7" s="402"/>
      <c r="D7" s="92">
        <v>533114621</v>
      </c>
      <c r="E7" s="238" t="s">
        <v>46</v>
      </c>
      <c r="F7" s="240" t="s">
        <v>394</v>
      </c>
    </row>
    <row r="8" spans="1:11" x14ac:dyDescent="0.25">
      <c r="A8" s="108">
        <v>6</v>
      </c>
      <c r="B8" s="17" t="s">
        <v>69</v>
      </c>
      <c r="C8" s="402"/>
      <c r="D8" s="93">
        <v>533000000</v>
      </c>
      <c r="E8" s="238" t="s">
        <v>46</v>
      </c>
      <c r="F8" s="240" t="s">
        <v>394</v>
      </c>
    </row>
    <row r="9" spans="1:11" ht="15.75" thickBot="1" x14ac:dyDescent="0.3">
      <c r="A9" s="109">
        <v>7</v>
      </c>
      <c r="B9" s="94" t="s">
        <v>70</v>
      </c>
      <c r="C9" s="403"/>
      <c r="D9" s="95">
        <v>532937500</v>
      </c>
      <c r="E9" s="242" t="s">
        <v>46</v>
      </c>
      <c r="F9" s="243" t="s">
        <v>394</v>
      </c>
    </row>
    <row r="10" spans="1:11" x14ac:dyDescent="0.25">
      <c r="C10" s="7"/>
    </row>
    <row r="13" spans="1:11" x14ac:dyDescent="0.25">
      <c r="B13" t="s">
        <v>449</v>
      </c>
    </row>
    <row r="16" spans="1:11" x14ac:dyDescent="0.25">
      <c r="B16" s="31" t="s">
        <v>450</v>
      </c>
      <c r="D16" s="31" t="s">
        <v>454</v>
      </c>
    </row>
    <row r="17" spans="2:4" x14ac:dyDescent="0.25">
      <c r="B17" t="s">
        <v>451</v>
      </c>
      <c r="D17" t="s">
        <v>453</v>
      </c>
    </row>
    <row r="21" spans="2:4" x14ac:dyDescent="0.25">
      <c r="B21" s="31" t="s">
        <v>452</v>
      </c>
      <c r="D21" s="31" t="s">
        <v>455</v>
      </c>
    </row>
    <row r="22" spans="2:4" x14ac:dyDescent="0.25">
      <c r="B22" t="s">
        <v>453</v>
      </c>
      <c r="D22" t="s">
        <v>451</v>
      </c>
    </row>
  </sheetData>
  <mergeCells count="1">
    <mergeCell ref="C3:C9"/>
  </mergeCells>
  <phoneticPr fontId="1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1"/>
  <sheetViews>
    <sheetView zoomScale="90" zoomScaleNormal="90" workbookViewId="0">
      <selection activeCell="E19" sqref="E19"/>
    </sheetView>
  </sheetViews>
  <sheetFormatPr baseColWidth="10" defaultRowHeight="15" x14ac:dyDescent="0.25"/>
  <cols>
    <col min="1" max="1" width="15.7109375" bestFit="1" customWidth="1"/>
    <col min="2" max="2" width="24.85546875" customWidth="1"/>
    <col min="3" max="3" width="28.42578125" bestFit="1" customWidth="1"/>
    <col min="4" max="4" width="19.42578125" bestFit="1" customWidth="1"/>
    <col min="5" max="5" width="18.85546875" customWidth="1"/>
    <col min="6" max="6" width="15" bestFit="1" customWidth="1"/>
    <col min="7" max="7" width="12.42578125" bestFit="1" customWidth="1"/>
  </cols>
  <sheetData>
    <row r="1" spans="1:8" ht="15.75" thickBot="1" x14ac:dyDescent="0.3"/>
    <row r="2" spans="1:8" ht="15.75" thickBot="1" x14ac:dyDescent="0.3">
      <c r="C2" s="404" t="s">
        <v>470</v>
      </c>
      <c r="D2" s="405"/>
      <c r="E2" s="405"/>
      <c r="F2" s="405"/>
      <c r="G2" s="406"/>
    </row>
    <row r="3" spans="1:8" ht="15.75" thickBot="1" x14ac:dyDescent="0.3">
      <c r="C3" s="247" t="s">
        <v>465</v>
      </c>
      <c r="D3" s="248" t="s">
        <v>466</v>
      </c>
      <c r="E3" s="248" t="s">
        <v>467</v>
      </c>
      <c r="F3" s="248" t="s">
        <v>468</v>
      </c>
      <c r="G3" s="249" t="s">
        <v>469</v>
      </c>
    </row>
    <row r="4" spans="1:8" ht="15.75" thickBot="1" x14ac:dyDescent="0.3">
      <c r="A4" s="46" t="s">
        <v>114</v>
      </c>
      <c r="B4" s="50" t="s">
        <v>50</v>
      </c>
      <c r="C4" s="58" t="s">
        <v>461</v>
      </c>
      <c r="D4" s="59" t="s">
        <v>462</v>
      </c>
      <c r="E4" s="59" t="s">
        <v>463</v>
      </c>
      <c r="F4" s="60">
        <v>7.3</v>
      </c>
      <c r="G4" s="61">
        <v>7.4</v>
      </c>
      <c r="H4" s="57" t="s">
        <v>464</v>
      </c>
    </row>
    <row r="5" spans="1:8" x14ac:dyDescent="0.25">
      <c r="A5" s="47">
        <v>1</v>
      </c>
      <c r="B5" s="51" t="s">
        <v>64</v>
      </c>
      <c r="C5" s="54">
        <v>40</v>
      </c>
      <c r="D5" s="96">
        <v>30</v>
      </c>
      <c r="E5" s="96">
        <v>19</v>
      </c>
      <c r="F5" s="96">
        <v>10</v>
      </c>
      <c r="G5" s="96">
        <v>1</v>
      </c>
      <c r="H5" s="98">
        <f>C5+D5+E5+F5+G5</f>
        <v>100</v>
      </c>
    </row>
    <row r="6" spans="1:8" x14ac:dyDescent="0.25">
      <c r="A6" s="32">
        <v>2</v>
      </c>
      <c r="B6" s="52" t="s">
        <v>65</v>
      </c>
      <c r="C6" s="55">
        <v>40</v>
      </c>
      <c r="D6" s="63">
        <v>30</v>
      </c>
      <c r="E6" s="63">
        <v>19</v>
      </c>
      <c r="F6" s="63">
        <v>10</v>
      </c>
      <c r="G6" s="63">
        <v>1</v>
      </c>
      <c r="H6" s="99">
        <f t="shared" ref="H6:H10" si="0">C6+D6+E6+F6+G6</f>
        <v>100</v>
      </c>
    </row>
    <row r="7" spans="1:8" x14ac:dyDescent="0.25">
      <c r="A7" s="68">
        <v>3</v>
      </c>
      <c r="B7" s="101" t="s">
        <v>66</v>
      </c>
      <c r="C7" s="102"/>
      <c r="D7" s="103"/>
      <c r="E7" s="103"/>
      <c r="F7" s="103"/>
      <c r="G7" s="103"/>
      <c r="H7" s="100" t="s">
        <v>415</v>
      </c>
    </row>
    <row r="8" spans="1:8" x14ac:dyDescent="0.25">
      <c r="A8" s="32">
        <v>4</v>
      </c>
      <c r="B8" s="52" t="s">
        <v>67</v>
      </c>
      <c r="C8" s="55"/>
      <c r="D8" s="63"/>
      <c r="E8" s="63"/>
      <c r="F8" s="63"/>
      <c r="G8" s="63"/>
      <c r="H8" s="100" t="s">
        <v>415</v>
      </c>
    </row>
    <row r="9" spans="1:8" x14ac:dyDescent="0.25">
      <c r="A9" s="32">
        <v>5</v>
      </c>
      <c r="B9" s="52" t="s">
        <v>255</v>
      </c>
      <c r="C9" s="55">
        <v>40</v>
      </c>
      <c r="D9" s="63">
        <v>30</v>
      </c>
      <c r="E9" s="63">
        <v>19</v>
      </c>
      <c r="F9" s="63">
        <v>10</v>
      </c>
      <c r="G9" s="63">
        <v>1</v>
      </c>
      <c r="H9" s="99">
        <f t="shared" si="0"/>
        <v>100</v>
      </c>
    </row>
    <row r="10" spans="1:8" x14ac:dyDescent="0.25">
      <c r="A10" s="32">
        <v>6</v>
      </c>
      <c r="B10" s="52" t="s">
        <v>69</v>
      </c>
      <c r="C10" s="55">
        <v>40</v>
      </c>
      <c r="D10" s="103">
        <v>0</v>
      </c>
      <c r="E10" s="103">
        <v>0</v>
      </c>
      <c r="F10" s="63">
        <v>10</v>
      </c>
      <c r="G10" s="63">
        <v>1</v>
      </c>
      <c r="H10" s="99">
        <f t="shared" si="0"/>
        <v>51</v>
      </c>
    </row>
    <row r="11" spans="1:8" ht="15.75" thickBot="1" x14ac:dyDescent="0.3">
      <c r="A11" s="33">
        <v>7</v>
      </c>
      <c r="B11" s="53" t="s">
        <v>70</v>
      </c>
      <c r="C11" s="56">
        <v>40</v>
      </c>
      <c r="D11" s="97">
        <v>30</v>
      </c>
      <c r="E11" s="97">
        <v>19</v>
      </c>
      <c r="F11" s="97">
        <v>10</v>
      </c>
      <c r="G11" s="97">
        <v>1</v>
      </c>
      <c r="H11" s="126">
        <v>100</v>
      </c>
    </row>
  </sheetData>
  <mergeCells count="1">
    <mergeCell ref="C2:G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EXPERIENCIA HABILITANTE</vt:lpstr>
      <vt:lpstr>PERSONAL MINIMO REQUERIDO</vt:lpstr>
      <vt:lpstr>EXPERIENCIA ESPECIFICA PROPONEN</vt:lpstr>
      <vt:lpstr>EXP ESPECIFICA ADICIONA  PROP</vt:lpstr>
      <vt:lpstr>APOYO INDUSTRIA NAC</vt:lpstr>
      <vt:lpstr>DISCAPACIDAD</vt:lpstr>
      <vt:lpstr>FACTOR ECONOMICO</vt:lpstr>
      <vt:lpstr>PUNTAJE GENERAL</vt:lpstr>
      <vt:lpstr>'EXPERIENCIA HABILITANTE'!Área_de_impresión</vt:lpstr>
      <vt:lpstr>'PERSONAL MINIMO REQUERIDO'!Área_de_impresión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compras</cp:lastModifiedBy>
  <cp:revision/>
  <cp:lastPrinted>2020-12-18T12:36:25Z</cp:lastPrinted>
  <dcterms:created xsi:type="dcterms:W3CDTF">2017-03-03T03:30:08Z</dcterms:created>
  <dcterms:modified xsi:type="dcterms:W3CDTF">2020-12-18T15:21:21Z</dcterms:modified>
  <cp:category/>
  <cp:contentStatus/>
</cp:coreProperties>
</file>