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44.xml" ContentType="application/vnd.openxmlformats-officedocument.spreadsheetml.worksheet+xml"/>
  <Override PartName="/xl/worksheets/sheet1.xml" ContentType="application/vnd.openxmlformats-officedocument.spreadsheetml.worksheet+xml"/>
  <Override PartName="/xl/worksheets/sheet45.xml" ContentType="application/vnd.openxmlformats-officedocument.spreadsheetml.worksheet+xml"/>
  <Override PartName="/xl/worksheets/sheet2.xml" ContentType="application/vnd.openxmlformats-officedocument.spreadsheetml.worksheet+xml"/>
  <Override PartName="/xl/worksheets/sheet46.xml" ContentType="application/vnd.openxmlformats-officedocument.spreadsheetml.worksheet+xml"/>
  <Override PartName="/xl/worksheets/sheet3.xml" ContentType="application/vnd.openxmlformats-officedocument.spreadsheetml.worksheet+xml"/>
  <Override PartName="/xl/worksheets/sheet4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48.xml" ContentType="application/vnd.openxmlformats-officedocument.spreadsheetml.worksheet+xml"/>
  <Override PartName="/xl/worksheets/sheet6.xml" ContentType="application/vnd.openxmlformats-officedocument.spreadsheetml.worksheet+xml"/>
  <Override PartName="/xl/worksheets/sheet49.xml" ContentType="application/vnd.openxmlformats-officedocument.spreadsheetml.worksheet+xml"/>
  <Override PartName="/xl/worksheets/sheet7.xml" ContentType="application/vnd.openxmlformats-officedocument.spreadsheetml.worksheet+xml"/>
  <Override PartName="/xl/worksheets/sheet6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44.xml.rels" ContentType="application/vnd.openxmlformats-package.relationships+xml"/>
  <Override PartName="/xl/worksheets/_rels/sheet45.xml.rels" ContentType="application/vnd.openxmlformats-package.relationships+xml"/>
  <Override PartName="/xl/worksheets/_rels/sheet46.xml.rels" ContentType="application/vnd.openxmlformats-package.relationships+xml"/>
  <Override PartName="/xl/worksheets/_rels/sheet47.xml.rels" ContentType="application/vnd.openxmlformats-package.relationships+xml"/>
  <Override PartName="/xl/worksheets/_rels/sheet48.xml.rels" ContentType="application/vnd.openxmlformats-package.relationships+xml"/>
  <Override PartName="/xl/worksheets/_rels/sheet49.xml.rels" ContentType="application/vnd.openxmlformats-package.relationships+xml"/>
  <Override PartName="/xl/worksheets/_rels/sheet60.xml.rels" ContentType="application/vnd.openxmlformats-package.relationships+xml"/>
  <Override PartName="/xl/worksheets/_rels/sheet19.xml.rels" ContentType="application/vnd.openxmlformats-package.relationships+xml"/>
  <Override PartName="/xl/worksheets/_rels/sheet36.xml.rels" ContentType="application/vnd.openxmlformats-package.relationships+xml"/>
  <Override PartName="/xl/worksheets/_rels/sheet37.xml.rels" ContentType="application/vnd.openxmlformats-package.relationships+xml"/>
  <Override PartName="/xl/worksheets/_rels/sheet38.xml.rels" ContentType="application/vnd.openxmlformats-package.relationships+xml"/>
  <Override PartName="/xl/worksheets/_rels/sheet43.xml.rels" ContentType="application/vnd.openxmlformats-package.relationships+xml"/>
  <Override PartName="/xl/worksheets/_rels/sheet50.xml.rels" ContentType="application/vnd.openxmlformats-package.relationships+xml"/>
  <Override PartName="/xl/worksheets/_rels/sheet51.xml.rels" ContentType="application/vnd.openxmlformats-package.relationships+xml"/>
  <Override PartName="/xl/worksheets/_rels/sheet52.xml.rels" ContentType="application/vnd.openxmlformats-package.relationships+xml"/>
  <Override PartName="/xl/worksheets/_rels/sheet53.xml.rels" ContentType="application/vnd.openxmlformats-package.relationships+xml"/>
  <Override PartName="/xl/worksheets/_rels/sheet54.xml.rels" ContentType="application/vnd.openxmlformats-package.relationships+xml"/>
  <Override PartName="/xl/worksheets/_rels/sheet55.xml.rels" ContentType="application/vnd.openxmlformats-package.relationships+xml"/>
  <Override PartName="/xl/worksheets/_rels/sheet56.xml.rels" ContentType="application/vnd.openxmlformats-package.relationships+xml"/>
  <Override PartName="/xl/worksheets/_rels/sheet57.xml.rels" ContentType="application/vnd.openxmlformats-package.relationships+xml"/>
  <Override PartName="/xl/worksheets/_rels/sheet59.xml.rels" ContentType="application/vnd.openxmlformats-package.relationship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mj_Tab" sheetId="1" state="visible" r:id="rId2"/>
    <sheet name="Ref" sheetId="2" state="hidden" r:id="rId3"/>
    <sheet name="AICI202301" sheetId="3" state="hidden" r:id="rId4"/>
    <sheet name="AICI202215" sheetId="4" state="hidden" r:id="rId5"/>
    <sheet name="AICI202214" sheetId="5" state="hidden" r:id="rId6"/>
    <sheet name="AICI202213" sheetId="6" state="hidden" r:id="rId7"/>
    <sheet name="AICI202212" sheetId="7" state="hidden" r:id="rId8"/>
    <sheet name="AICI202211" sheetId="8" state="hidden" r:id="rId9"/>
    <sheet name="AICI202210" sheetId="9" state="hidden" r:id="rId10"/>
    <sheet name="AICI202209" sheetId="10" state="hidden" r:id="rId11"/>
    <sheet name="AICI202208" sheetId="11" state="hidden" r:id="rId12"/>
    <sheet name="AICI202207" sheetId="12" state="hidden" r:id="rId13"/>
    <sheet name="AICI202206" sheetId="13" state="hidden" r:id="rId14"/>
    <sheet name="AICI202205" sheetId="14" state="hidden" r:id="rId15"/>
    <sheet name="AICI202204" sheetId="15" state="hidden" r:id="rId16"/>
    <sheet name="AICI202203" sheetId="16" state="hidden" r:id="rId17"/>
    <sheet name="AICI202202" sheetId="17" state="hidden" r:id="rId18"/>
    <sheet name="AICI202201" sheetId="18" state="hidden" r:id="rId19"/>
    <sheet name="AICI202101" sheetId="19" state="hidden" r:id="rId20"/>
    <sheet name="AICI202102" sheetId="20" state="hidden" r:id="rId21"/>
    <sheet name="AICI202103" sheetId="21" state="hidden" r:id="rId22"/>
    <sheet name="AICI202104" sheetId="22" state="hidden" r:id="rId23"/>
    <sheet name="AICI202105" sheetId="23" state="hidden" r:id="rId24"/>
    <sheet name="AICI202106" sheetId="24" state="hidden" r:id="rId25"/>
    <sheet name="AICI202107" sheetId="25" state="hidden" r:id="rId26"/>
    <sheet name="SIPI202108" sheetId="26" state="hidden" r:id="rId27"/>
    <sheet name="AICI202109" sheetId="27" state="hidden" r:id="rId28"/>
    <sheet name="AICI202110" sheetId="28" state="hidden" r:id="rId29"/>
    <sheet name="AICI202111" sheetId="29" state="hidden" r:id="rId30"/>
    <sheet name="AICI202112" sheetId="30" state="hidden" r:id="rId31"/>
    <sheet name="AICI202113" sheetId="31" state="hidden" r:id="rId32"/>
    <sheet name="AICI202114" sheetId="32" state="hidden" r:id="rId33"/>
    <sheet name="AICI202115" sheetId="33" state="hidden" r:id="rId34"/>
    <sheet name="AICI202116" sheetId="34" state="hidden" r:id="rId35"/>
    <sheet name="AICI202117" sheetId="35" state="hidden" r:id="rId36"/>
    <sheet name="AICI202001" sheetId="36" state="hidden" r:id="rId37"/>
    <sheet name="AICI202002" sheetId="37" state="hidden" r:id="rId38"/>
    <sheet name="AICI202003" sheetId="38" state="hidden" r:id="rId39"/>
    <sheet name="AICI202004" sheetId="39" state="hidden" r:id="rId40"/>
    <sheet name="AICI202005" sheetId="40" state="hidden" r:id="rId41"/>
    <sheet name="AICI202006" sheetId="41" state="hidden" r:id="rId42"/>
    <sheet name="AICI202007" sheetId="42" state="hidden" r:id="rId43"/>
    <sheet name="AICI201910" sheetId="43" state="hidden" r:id="rId44"/>
    <sheet name="AICI201911" sheetId="44" state="hidden" r:id="rId45"/>
    <sheet name="AICI201909" sheetId="45" state="hidden" r:id="rId46"/>
    <sheet name="AICI201908" sheetId="46" state="hidden" r:id="rId47"/>
    <sheet name="AICI201901" sheetId="47" state="hidden" r:id="rId48"/>
    <sheet name="AICI201902" sheetId="48" state="hidden" r:id="rId49"/>
    <sheet name="AICI201903" sheetId="49" state="hidden" r:id="rId50"/>
    <sheet name="AICI201904" sheetId="50" state="hidden" r:id="rId51"/>
    <sheet name="AICI201905" sheetId="51" state="hidden" r:id="rId52"/>
    <sheet name="AICI201906" sheetId="52" state="hidden" r:id="rId53"/>
    <sheet name="AICI201907" sheetId="53" state="hidden" r:id="rId54"/>
    <sheet name="AICI201801" sheetId="54" state="hidden" r:id="rId55"/>
    <sheet name="AECI201802" sheetId="55" state="hidden" r:id="rId56"/>
    <sheet name="SICI201803" sheetId="56" state="hidden" r:id="rId57"/>
    <sheet name="AICI201804" sheetId="57" state="hidden" r:id="rId58"/>
    <sheet name="AICI201805" sheetId="58" state="hidden" r:id="rId59"/>
    <sheet name="AICI201806" sheetId="59" state="hidden" r:id="rId60"/>
    <sheet name="AICI201807" sheetId="60" state="hidden" r:id="rId61"/>
  </sheets>
  <definedNames>
    <definedName function="false" hidden="false" localSheetId="0" name="Z_14BE09CB_941D_468A_840B_32C0E3A22B0F_.wvu.FilterData" vbProcedure="false">Pmj_Tab!$A$1:$K$43</definedName>
    <definedName function="false" hidden="false" localSheetId="0" name="Z_E041ADF5_A83A_4FD8_B041_E62421DDA6B5_.wvu.FilterData" vbProcedure="false">Pmj_Tab!$A$1:$K$43</definedName>
    <definedName function="false" hidden="false" localSheetId="0" name="_xlnm._FilterDatabase" vbProcedure="false">Pmj_Tab!$A$1:$M$442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<sst xmlns="http://schemas.openxmlformats.org/spreadsheetml/2006/main" count="5411" uniqueCount="1858">
  <si>
    <t xml:space="preserve">año</t>
  </si>
  <si>
    <t xml:space="preserve">cod_aud</t>
  </si>
  <si>
    <t xml:space="preserve">Auditoria</t>
  </si>
  <si>
    <t xml:space="preserve">Proceso</t>
  </si>
  <si>
    <t xml:space="preserve">Auditor</t>
  </si>
  <si>
    <t xml:space="preserve">Cod_hall</t>
  </si>
  <si>
    <t xml:space="preserve">Hallazgo</t>
  </si>
  <si>
    <t xml:space="preserve">Causa</t>
  </si>
  <si>
    <t xml:space="preserve">Responsable</t>
  </si>
  <si>
    <t xml:space="preserve">cod_acc</t>
  </si>
  <si>
    <t xml:space="preserve">Accion</t>
  </si>
  <si>
    <t xml:space="preserve">EstFin</t>
  </si>
  <si>
    <t xml:space="preserve">fec_ultseg</t>
  </si>
  <si>
    <t xml:space="preserve">AICI202006</t>
  </si>
  <si>
    <t xml:space="preserve">Incapacidades - Gestión del talento humano</t>
  </si>
  <si>
    <t xml:space="preserve">3.1. Gestión del Talento Humano</t>
  </si>
  <si>
    <t xml:space="preserve">OCI</t>
  </si>
  <si>
    <t xml:space="preserve">AICI202006-1</t>
  </si>
  <si>
    <t xml:space="preserve">INCONFORMIDAD No. 1: No se cuenta con un lineamiento institucional que instruya a funcionarios y líderes sobre su deber de reportar oportunamente sus incapacidades a las instancias necesarias, para evitar dificultades en las liquidaciones, cobros ante las EPS/Pagadores y eventuales sanciones, tampoco se cuenta con un mecanismo de control que evite se presenten situaciones de no reporte de incapacidades.</t>
  </si>
  <si>
    <t xml:space="preserve">No se tramitó de manera oportuna la circular de incapcidades con los lineamientos correspondientes del proceso</t>
  </si>
  <si>
    <t xml:space="preserve">INCAPACIDADES</t>
  </si>
  <si>
    <t xml:space="preserve">AICI202006-1-1</t>
  </si>
  <si>
    <t xml:space="preserve">AICI202006-1-1| Solicitar al área de comunicaciones la socialización a cada uno de los correos de los funcionarios el instructivo de incapacidades (05/04/2021 - 31/08/2021)</t>
  </si>
  <si>
    <t xml:space="preserve">C</t>
  </si>
  <si>
    <t xml:space="preserve">AICI202006-1-2</t>
  </si>
  <si>
    <t xml:space="preserve">AICI202006-1-2| Enviar la circular de incapacidades para el cumplimento del reporte mensual por cada una de las áreas (05/04/2021 - 31/08/2021)</t>
  </si>
  <si>
    <t xml:space="preserve">AICI202006-10</t>
  </si>
  <si>
    <t xml:space="preserve">INCONFORMIDAD No. 10: No se tienen definidos términos de oportunidad para radicación de incapacidades ante las EPS/pagadores. No se está realizando trámite oportuno a la radicación de las incapacidades ante las EPS/Pagadores o no se está actualizando oportunamente el cuadro de registro de incapacidades con los trámites realizados, como se evidenció en el ítem 8.1.</t>
  </si>
  <si>
    <t xml:space="preserve">El instructivo se encuentra muy general y no se actualizó discriminando el paso apaso del proceso de incapacidades y las areas involucradas.</t>
  </si>
  <si>
    <t xml:space="preserve">AICI202006-10-1</t>
  </si>
  <si>
    <t xml:space="preserve">AICI202006-10-1| Actualizar el instructivo de Incapacidades AP-TH-I-24-02 y solicitar al área de Calidad su normalización - incluyendo los términos de oportunidad de radicación de incapacidades (05/04/2021 - 31/08/2021)</t>
  </si>
  <si>
    <t xml:space="preserve">AICI202006-11</t>
  </si>
  <si>
    <t xml:space="preserve">INCONFORMIDAD No. 11: No se tiene adecuadamente definidos responsables y lineamientos para la gestión de cobro de incapacidades a los pagadores.</t>
  </si>
  <si>
    <t xml:space="preserve">no se cuenta con un instructivo que especifique el paso a paso sobre el cobro de incapcidades ante las diferentes EPS y ARL</t>
  </si>
  <si>
    <t xml:space="preserve">AICI202006-11-1</t>
  </si>
  <si>
    <t xml:space="preserve">AICI202006-11-1| Actualizar el instructivo de Incapacidades AP-TH-I-24-02 y solicitar al área de Calidad su normalización- Incluir en el instructivo la circularización que realizará el área de cartera anualmente (cobro cartera). (05/04/2021 - 31/08/2021)</t>
  </si>
  <si>
    <t xml:space="preserve">AICI202006-12</t>
  </si>
  <si>
    <t xml:space="preserve">INCONFORMIDAD No. 12: El instructivo de Incapacidades presentado por la dirección financiera no se encuentra normalizado y requiere actualización.</t>
  </si>
  <si>
    <t xml:space="preserve">No se tiene un instructivo en conjunto con Financiera</t>
  </si>
  <si>
    <t xml:space="preserve">AICI202006-12-1</t>
  </si>
  <si>
    <t xml:space="preserve">AICI202006-12-1| Actualizar el instructivo de Incapacidades AP-TH-I-24-02 donde se involucren las actividades relacionadas con las áreas financieras y solicitar al área de Calidad su normalización (05/04/2021 - 31/08/2021)</t>
  </si>
  <si>
    <t xml:space="preserve">AICI202006-13</t>
  </si>
  <si>
    <t xml:space="preserve">INCONFORMIDAD No. 13: No se evidenció un procedimiento que permita la aplicación sistemática de pagos realizados por la EPS/Pagadores a cada uno de los funcionarios cuya incapacidad ha sido radicada. Se evidenciaron deficiencias en la compensación/aplicación de pagos realizados por incapacidades saldos por funcionarios</t>
  </si>
  <si>
    <t xml:space="preserve">Los pagos se descargan de la página de la EPS, y se cargan manualmente uno a uno por funcionario. Base desactualizada</t>
  </si>
  <si>
    <t xml:space="preserve">AICI202006-13-1</t>
  </si>
  <si>
    <t xml:space="preserve">AICI202006-13-1| Implementar la herramienta tecnológica INCAX para el control y e registro unificado de la información de incapacidades, con las validaciones necesarias para aportar seguridad y confiabilidad al proceso. (01/03/2020 - 30/06/2021)</t>
  </si>
  <si>
    <t xml:space="preserve">AICI202006-13-2</t>
  </si>
  <si>
    <t xml:space="preserve">AICI202006-13-2| Incluír en la hoja de calculo diseñada para unificar el registro de incapacidades, la aplicación de los pagos realizados por las EAPB, derivados de las incapacidades de cada funcionario. (01/oct/2021 - 31/dic/2021)</t>
  </si>
  <si>
    <t xml:space="preserve">AICI202006-13-3</t>
  </si>
  <si>
    <t xml:space="preserve">AICI202006-13-3| Implementar el modulo de cartera del sistema de información Sinergy (01/oct/2021 - 31/dic/2021)</t>
  </si>
  <si>
    <t xml:space="preserve">AICI202006-14</t>
  </si>
  <si>
    <t xml:space="preserve">INCONFORMIDAD No. 14: No se obtuvo una explicación satisfactoria para los casos de déficit/excedentes en valores reconocidos por las EPS/Pagadores, manejo que debe ser regulado por la entidad</t>
  </si>
  <si>
    <t xml:space="preserve">La variación se presenta en el IBC que se toma para el pago de la Incapacidad, y el IBC tomado por la Entidad Promotora de Salud; en el reconocimiento del auxilio, son en tiempos diferentes - el salario puede variar por multiples factores</t>
  </si>
  <si>
    <t xml:space="preserve">AICI202006-14-1</t>
  </si>
  <si>
    <t xml:space="preserve">AICI202006-14-1| Proponer que las diferencias presentadas en los IBC por los tiempos en la liquidación y reconocimiento de la incapacidad cuenten con un margen de conciliación con contabilidad para saldos dentro del periodo de aplicación (05/04/2021 - 31/08/2021)</t>
  </si>
  <si>
    <t xml:space="preserve">A</t>
  </si>
  <si>
    <t xml:space="preserve">AICI202006-15</t>
  </si>
  <si>
    <t xml:space="preserve">INCONFORMIDAD No. 15: No se tiene establecido mecanismo que defina actividades para realizar asesoría y cobro a funcionarios que sobrepasan las incapacidades de 180 días.</t>
  </si>
  <si>
    <t xml:space="preserve">No se cuenta con un documento especificio sobre el manejo y los lineamientos correspondientes del proceso de incapcidades superiores a 180 dias</t>
  </si>
  <si>
    <t xml:space="preserve">AICI202006-15-1</t>
  </si>
  <si>
    <t xml:space="preserve">AICI202006-15-1| Publicar circular en la cual se divulgue a los funcionarios el proceso de incapacidades y sus requerimientos mínimos en caso de sobrepasar los 180 días. (05/04/2021 - 31/08/2021)</t>
  </si>
  <si>
    <t xml:space="preserve">AICI202006-15-2</t>
  </si>
  <si>
    <t xml:space="preserve">AICI202006-15-2| Incluir dentro del instructivo de incapacidades el tema, previas consultas legales. (05/04/2021 - 31/08/2021)</t>
  </si>
  <si>
    <t xml:space="preserve">AICI202006-16</t>
  </si>
  <si>
    <t xml:space="preserve">INCONFORMIDAD No. 16: No se evidencian acciones estandarizadas, formalizadas y aplicadas para gestión de cobro y recaudo de cartera de incapacidades</t>
  </si>
  <si>
    <t xml:space="preserve">No se cuenta con un documento que contenga el paso a paso del trabajo en conjunto con las areas involucradas dentro del proceso / no se cuenta con una directriz legal</t>
  </si>
  <si>
    <t xml:space="preserve">INCAPACIDADES / CARTERA</t>
  </si>
  <si>
    <t xml:space="preserve">AICI202006-16-1</t>
  </si>
  <si>
    <t xml:space="preserve">AICI202006-16-1| Realizar circularización por parte del área de cartera, sobre el cobro en el mes de marzo anualmente previo concepto jurídico para este tema (01/03/2021 - 30/04/2021)</t>
  </si>
  <si>
    <t xml:space="preserve">AICI202006-17</t>
  </si>
  <si>
    <t xml:space="preserve">INCONFORMIDAD No. 17: No se realizan de manera oportuna las gestiones administrativas necesarias para el cobro de las acreencias por concepto de Incapacidades y es necesario implementar mecanismos de control que permitan efectuar el seguimiento y cobro efectivo de las incapacidades, con el fin de evitar la prescripción y pérdida de recursos por estos conceptos. Lo anterior con base en los descrito en el numeral 8.2 gestión de cobro de incapacidades.</t>
  </si>
  <si>
    <t xml:space="preserve">Se manejan dos bases de registro incapacidades y liquidacion de incapcidades, lo que no fáciilita la trazabilidad de la incapacidad.</t>
  </si>
  <si>
    <t xml:space="preserve">AICI202006-17-1</t>
  </si>
  <si>
    <t xml:space="preserve">AICI202006-17-1| Implementar la herramienta tecnológica INCAX, para el control y e registro unificado de la información de incapacidades, con las validaciones necesarias para aportar seguridad y confiabilidad al proceso de radicación, permitiendo evidenciar el estado del trámite administrativo y de cobro de cada una de las incapacidades radicadas, generando alertas periódicas con el fin de evitar la prescripción de estas (01/03/2020 - 30/04/2020)</t>
  </si>
  <si>
    <t xml:space="preserve">AICI202006-18</t>
  </si>
  <si>
    <t xml:space="preserve">INCONFORMIDAD No. 18: La información suministrada por financiera mostró que las cuentas contables código 1384900004-1384900005 provenientes de los hospitales fusionados por valor de $65.464.139 y $ 30.008.549 respectivamente, “son objeto de saneamiento contable para el cierre de esta vigencia”25. Esto podría ser indicio de que la Subred, no gestionó de manera óptima la cartera pendiente de incapacidades, antes de que las cuentas prescribieran de acuerdo con el plazo establecido por la ley 1438 de 2011 (3 años) o que se presentaron problemas de difícil resolución asociados a dicho cobro, con lo cual se tornó inviable la recuperación de dichos recursos para la entidad. Al analizar el cuadro No. 6 se puede presumir que hay cuentas corresponden a años 2017 y años anteriores, cuantía que estaría potencialmente en la misma situación descrita anteriormente, lo cual requiere de una inmediata intervención</t>
  </si>
  <si>
    <t xml:space="preserve">Soportes incompletos que no permitieron generar el trámite o gestion de cobro. EPS como Comeva no realizan pagos desde la vigencia 2014</t>
  </si>
  <si>
    <t xml:space="preserve">AICI202006-18-1</t>
  </si>
  <si>
    <t xml:space="preserve">AICI202006-18-1| Realizar las fichas de saneamiento fiscal que sean necesarias con el concepto jurídico con relación a las vigencias que prescriben. (05/04/2021 - 30/11/2021)</t>
  </si>
  <si>
    <t xml:space="preserve">AICI202006-18-2</t>
  </si>
  <si>
    <t xml:space="preserve">AICI202006-18-2| Implementar el sistema INCAX para controlar y prevenir y alertar sobre los valores pendientes de pago por las EPS y ARL, de manera que se evite se mitigue el riesgo de prescripción de las cuentas se tendrá el control actual del estado de las incapacidades (05/04/2021 - 30/11/2021)</t>
  </si>
  <si>
    <t xml:space="preserve">AICI202006-18-3</t>
  </si>
  <si>
    <t xml:space="preserve">AICI202006-18-3| Realizar conciliaciones mensuales con las áreas financieras, con el fin de descargar y controlar los pagos realzados por las EPS y ARL- Conciliar y depurar con contabilidad, valores reconocidos por las EPS correspondiente a la vigencia 2017 (05/04/2021 - 30/11/2021)</t>
  </si>
  <si>
    <t xml:space="preserve">AICI202006-19</t>
  </si>
  <si>
    <t xml:space="preserve">INCONFORMIDAD No. 19: Se evidenciaron falencias en el proceso de cobro de dineros a funcionarios por concepto de pago de incapacidades de más de 180 días asumidas por la Subred Norte ESE, mientras el fondo de pensiones realizaba los pagos correspondientes (esto de acuerdo a información y soportes presentados, su valor se desconoce, porque no fue informado por talento humano). Lo anterior soportado en los hallazgos descritos en el numeral 8.3 gestión de cobro a funcionarios</t>
  </si>
  <si>
    <t xml:space="preserve">no se cuenta con un documento interno sobre el manejo y los lineamientos correspondientes del proceso de incapacidades superiores a 180 dias</t>
  </si>
  <si>
    <t xml:space="preserve">AICI202006-19-1</t>
  </si>
  <si>
    <t xml:space="preserve">AICI202006-19-1| Actualizar el instructivo de Incapacidades AP-TH-I-24-02 e incluir en el mismo, el trámite y manejo de incapacidades de mas de 180 días y solicitar al área de Calidad su normalización (05/04/2021 - 30/08/2021)</t>
  </si>
  <si>
    <t xml:space="preserve">AICI202006-19-2</t>
  </si>
  <si>
    <t xml:space="preserve">AICI202006-19-2| Establecer con los abogados del área un protocolo y con el apoyo de la oficina Jurídica de la entidad, los parámetros para proceder, en los futuros casos de situaciones de cobro de incapacidades de más de 180 días a los funcionarios (05/04/2021 - 30/08/2021)</t>
  </si>
  <si>
    <t xml:space="preserve">AICI202006-19-3</t>
  </si>
  <si>
    <t xml:space="preserve">AICI202006-19-3| Adelantar los procesos legales correspondientes en cada uno de los casos vigentes referidos en el informe en el numeral 8,3, trámite a realizar con los abogados del área con el apoyo de la oficina jurídica de la entidad (05/04/2021 - 30/08/2021)</t>
  </si>
  <si>
    <t xml:space="preserve">AICI202006-2</t>
  </si>
  <si>
    <t xml:space="preserve">INCONFORMIDAD No. 2: No se cuenta con una directriz institucional clara y completa que establezca lo lineamientos para la gestión de incapacidades, ya que el instructivo de incapacidades existente no describe la totalidad de actividades realizadas en el proceso (diligenciamiento de datos, diligenciamiento de días de incapacidad, identificación de diagnósticos relacionados, componentes del IBC, proceso de liquidación, aspectos a tener en cuenta como vacaciones, licencias, liquidación en funcionarios públicos, oficiales, valores de licencias de maternidad y otras posible variables que afecten el mismo), al igual que todas las actividades relacionadas con radicación en EPS y aplicación de cuentas para definir saldos pendientes, recuperación de cartera, entre otros. Estas actividades no se encuentran debidamente estandarizadas, condición que dificulta que los participantes de este realicen sus actividades de forma sistemática y efectiva para responder al cumplimiento de los objetivos del proceso y la institución. De igual forma la carencia de lineamiento claros impide que dichas actividades puedan ser técnicamente supervisadas y evaluadas por el líder del proceso.</t>
  </si>
  <si>
    <t xml:space="preserve">AICI202006-2-1</t>
  </si>
  <si>
    <t xml:space="preserve">AICI202006-2-1| Actualizar el instructivo de Incapacidades AP-TH-I-24-02 y solicitar al área de Calidad su normalización (05/04/2021 - 31/08/2021)</t>
  </si>
  <si>
    <t xml:space="preserve">AICI202006-20</t>
  </si>
  <si>
    <t xml:space="preserve">INCONFORMIDAD No. 20: Inadecuado manejo del caso de Montaña Gómez Gloria Inés CC 51866346, la trabajadora cumplió 180 días de incapacidad en marzo de 2020, con 125 días de ausencia no soportada, días pagados por la Subred, (la Subred está realizando un cobro persuasivo por valor $9.069.187 por concepto de incapacidades pagadas y no radicadas). No es claro el pago que hizo la Subred a la funcionaria, si ella no aportó los debidos soportes de incapacidad. Esto evidencia falta de control en el proceso de reporte liquidación y pago de incapacidades con la consecuente de recursos de la entidad, en el caso en que no se logre el reintegro de los mismos</t>
  </si>
  <si>
    <t xml:space="preserve">Pago sin soportes de incapacidad -</t>
  </si>
  <si>
    <t xml:space="preserve">AICI202006-20-1</t>
  </si>
  <si>
    <t xml:space="preserve">AICI202006-20-1| Requerir a Colpensiones y subsanar el hallazgo (05/04/2021 - 30/08/2021)</t>
  </si>
  <si>
    <t xml:space="preserve">AICI202006-20-2</t>
  </si>
  <si>
    <t xml:space="preserve">AICI202006-20-2| Solicitar los abogados del área y con el apoyo de la oficina Jurídica de la Subred Norte, realizar un documento con el fin de establecer parámetros y proceder en los futuros casos que se presenten (05/04/2021 - 30/08/2021)</t>
  </si>
  <si>
    <t xml:space="preserve">AICI202006-20-3</t>
  </si>
  <si>
    <t xml:space="preserve">AICI202006-20-3| Realizar las actuaciones jurídicas que correspondan en torno al caso de la Sra. Gloria Inés Montaña (05/04/2021 - 30/08/2021)</t>
  </si>
  <si>
    <t xml:space="preserve">AICI202006-21</t>
  </si>
  <si>
    <t xml:space="preserve">INCONFORMIDAD No. 21: No se evidencia un procedimiento definido para la recuperación de dineros correspondientes a incapacidades no reconocidas por las EPS, por no cumplir con las semanas cotizadas, incapacidades no transcritas y otras situaciones que impidan el cobro a EPS/Pagadores.</t>
  </si>
  <si>
    <t xml:space="preserve">No se encuentra especificado en el instructivo.</t>
  </si>
  <si>
    <t xml:space="preserve">AICI202006-21-1</t>
  </si>
  <si>
    <t xml:space="preserve">AICI202006-21-1| Actualizar el instructivo de Incapacidades AP-TH-I-24-02 incluyendo los temas enunciados en la no conformidad y solicitar al área de Calidad su normalización (05/04/2021 - 30/08/2021)</t>
  </si>
  <si>
    <t xml:space="preserve">AICI202006-22</t>
  </si>
  <si>
    <t xml:space="preserve">INCONFORMIDAD No. 22: El sistema de información utilizado actualmente para hacer la gestión y liquidación de incapacidades Excel - Hipócrates no ofrece las condiciones suficientes para realizar un proceso de gestión y liquidación de incapacidades, fiable ya que no tiene los parámetros necesarios para facilitar el diligenciamiento correcto de los datos, minimizar el error humano, facilitar los cálculos y las interfases adecuadas para el ingreso de la información a nómina, garantizar la seguridad y custodia entre otras cualidades requeridas. No tiene puntos de control para validar las diferentes operaciones que se realizan durante la liquidación</t>
  </si>
  <si>
    <t xml:space="preserve">Se manejan diferentes bases de registro y liquidacion de incapcidades</t>
  </si>
  <si>
    <t xml:space="preserve">AICI202006-22-1</t>
  </si>
  <si>
    <t xml:space="preserve">AICI202006-22-1| Implementar el sistema Sinergy para la liquidación de las incapacidades de acuerdo a la información reportada en el documentos emitido por la EPS, (01/01/2021 - 30/06/2021)</t>
  </si>
  <si>
    <t xml:space="preserve">AICI202006-22-2</t>
  </si>
  <si>
    <t xml:space="preserve">AICI202006-22-3| Realizar una copia de seguridad semanal de la información consolidada, que se almacenará en un computador de la Dirección de Talento Humano para salvaguardar la información allí depositada (01/01/2021 - 30/06/2021)</t>
  </si>
  <si>
    <t xml:space="preserve">AICI202006-23</t>
  </si>
  <si>
    <t xml:space="preserve">INCONFORMIDAD No. 23: Se evidenciaron diferencias entre los cálculos de liquidación entre Excel e Hipócrates, situación que impacta directamente las deducciones que se hacen a los funcionarios y los valores contable calculados y facturados por incapacidades.</t>
  </si>
  <si>
    <t xml:space="preserve">El sistema de información manejado presentaba inconvenientes, y se hacía seguimiento comparativo en el archivo de excel</t>
  </si>
  <si>
    <t xml:space="preserve">AICI202006-23-1</t>
  </si>
  <si>
    <t xml:space="preserve">AICI202006-23-1| Implementar el sistema Sinergy para la liquidación de las incapacidades de acuerdo a la información reportada en el documentos emitido por la EPS. (01/01/2021 - 30/06/2021)</t>
  </si>
  <si>
    <t xml:space="preserve">AICI202006-23-2</t>
  </si>
  <si>
    <t xml:space="preserve">AICI202006-23-2| Consolidar la información de incapacidades en la herramienta INCAX, la cual permite el registro unificado y el control de la información de este proceso con las validaciones necesarias para aportar seguridad y confiabilidad al mismo. (01/01/2021 - 30/06/2021)</t>
  </si>
  <si>
    <t xml:space="preserve">AICI202006-24</t>
  </si>
  <si>
    <t xml:space="preserve">INCONFORMIDAD No. 24: Los formatos magnéticos para el diligenciamiento de la información de la gestión de incapacidades no se encuentran debidamente normalizados y registrados en el sistema de gestión documental y los archivos físicos de incapacidades no cumplen con los parámetros enunciados en “procedimiento de gestión documental” institucional</t>
  </si>
  <si>
    <t xml:space="preserve">Formatos diseñados internamente en el área</t>
  </si>
  <si>
    <t xml:space="preserve">AICI202006-24-1</t>
  </si>
  <si>
    <t xml:space="preserve">AICI202006-24-1| Unificar los archivos en Excel y manejarlos a través de la base INCAX donde se consolida la información manejando así un solo documento. (01/03/2021 - 30/06/2021)</t>
  </si>
  <si>
    <t xml:space="preserve">AICI202006-25</t>
  </si>
  <si>
    <t xml:space="preserve">INCONFORMIDAD No. 25: Las actuales condiciones de manejo de los archivos y back up realizados, no garantizan la custodia de información de incapacidades.</t>
  </si>
  <si>
    <t xml:space="preserve">No se cuenta con backup de la información, mas que la del mismo computador</t>
  </si>
  <si>
    <t xml:space="preserve">AICI202006-25-1</t>
  </si>
  <si>
    <t xml:space="preserve">AICI202006-25-1| Realizar una copia de seguridad semanal de la información consolidada, que se almacenará en un computador de la Dirección de Talento Humano para salvaguardar la información allí depositada (01/03/2021 - 30/06/2021)</t>
  </si>
  <si>
    <t xml:space="preserve">AICI202006-26</t>
  </si>
  <si>
    <t xml:space="preserve">INCONFORMIDAD No. 26: Se evidenció que la información diligenciada en los formatos de Excel de incapacidades y los formatos de registro de incapacidades que consolidan la información, no presentan información confiable, ya que algunos registros presentan errores, acorde a lo descrito en el ítem de verificación de diligenciamiento de liquidaciones. Los consolidados que elabora el área de incapacidades para brindar información interna y externa incluidos los entes de control, evidencian múltiples inconsistencias, lo cual puede dar lugar a información errónea para la toma de decisiones y a sanciones por parte de los entes de control.</t>
  </si>
  <si>
    <t xml:space="preserve">AICI202006-26-1</t>
  </si>
  <si>
    <t xml:space="preserve">AICI202006-26-1| Implementar la herramienta tecnológica INCAX, para el control y e registro unificado de la información de incapacidades, con las validaciones necesarias para aportar seguridad y confiabilidad al proceso (01/03/2021 - 30/06/2021)</t>
  </si>
  <si>
    <t xml:space="preserve">AICI202006-27</t>
  </si>
  <si>
    <t xml:space="preserve">INCONFORMIDAD No. 27: De acuerdo con la información suministrada por el área, no se han realizado actividades de monitoreo interno a la gestión del proceso de incapacidades.</t>
  </si>
  <si>
    <t xml:space="preserve">Falta de monitoreo interno al proceso de incapacidades</t>
  </si>
  <si>
    <t xml:space="preserve">AICI202006-27-1</t>
  </si>
  <si>
    <t xml:space="preserve">AICI202006-27-1| Asignar a la profesional Marcela Iglesias para ejercer las labores de apoyo y controles, igualmente asignar a Adriana Cristancho líder de Nómina el monitoreo y seguimiento al proceso de Incapacidades (22/02/2021 - 15/03/2021)</t>
  </si>
  <si>
    <t xml:space="preserve">AICI202006-3</t>
  </si>
  <si>
    <t xml:space="preserve">INCONFORMIDAD No. 3: No se tienen debidamente estandarizados, formalizados y aplicados mecanismos para ejercer la supervisión y los controles técnicos necesarios sobre las actividades realizadas en la gestión de incapacidades en la Subred. El proceso de Talento humano no ha designado un profesional específico, que tenga la disponibilidad de tiempo requerido, para ejercer las labores de supervisión, garantizar la calidad de la información y el procedimiento realizado desde el punto de vista técnico, salvaguardando debidamente la información, en caso de que las técnicos del proceso se ausenten</t>
  </si>
  <si>
    <t xml:space="preserve">El proceso de incapacidaes no contaba con un apoyo profesional exclusivo para este.</t>
  </si>
  <si>
    <t xml:space="preserve">AICI202006-3-1</t>
  </si>
  <si>
    <t xml:space="preserve">AICI202006-3-1| Asignar a la profesional Marcela Iglesias para ejercer las labores de apoyo y control y a Adriana Cristancho para el monitoreo y seguimiento al proceso de Incapacidades (22/02/2020 - 15/03/2021)</t>
  </si>
  <si>
    <t xml:space="preserve">AICI202006-4</t>
  </si>
  <si>
    <t xml:space="preserve">INCONFORMIDAD No. 4: No se cuenta con lineamientos claros para el manejo de información del proceso y se están presentando fallas en la supervisión y control de la información procesada y entregada a las áreas de la Subred y entes de control esto se hizo evidente en las dificultades y variabilidad en la entrega de archivos y bases de incapacidades para la auditoría explicado anteriormente Esto además de incumplir lo estipulado por el MIPG en su séptima dimensión, también incumple lo establecido en la ley 87 de 1993</t>
  </si>
  <si>
    <t xml:space="preserve">Para el proceso de incapcidades se estan manejando 4 bases ( base de regisro, base de liquidacion, base de cuentas de cobro y base de radicacion) con diferente formatos he informacion, generando asi dificultal de entender la informacion por personas externas al proceso.</t>
  </si>
  <si>
    <t xml:space="preserve">AICI202006-4-1</t>
  </si>
  <si>
    <t xml:space="preserve">AICI202006-4-1| Implementar la herramienta tecnológica INCAX para consolidar la información de incapacidades (19/01/2021 - 30/06/2021)</t>
  </si>
  <si>
    <t xml:space="preserve">AICI202006-5</t>
  </si>
  <si>
    <t xml:space="preserve">INCONFORMIDAD No. 5: Inadecuada identificación de los riesgos propios del proceso y su correspondiente gestión</t>
  </si>
  <si>
    <t xml:space="preserve">Análisis insuficiente de los riesgos que puede presentarse en la ejecución del procedimiento de incapacidades</t>
  </si>
  <si>
    <t xml:space="preserve">AICI202006-5-1</t>
  </si>
  <si>
    <t xml:space="preserve">AICI202006-5-1| Realizar análisis cuidadoso de los riesgos que pueden presentarse en la ejecución del procedimiento de incapacidades, así como de las no conformidades evidenciadas en el informe de auditoría, con los directos implicados en el tema de incapacidades (05/04/2021 - 30/11/2021)</t>
  </si>
  <si>
    <t xml:space="preserve">AICI202006-5-2</t>
  </si>
  <si>
    <t xml:space="preserve">AICI202006-5-2| Realizar conciliaciones mensuales con las áreas financieras como cartera, contabilidad y facturación (05/04/2021 - 30/11/2021)</t>
  </si>
  <si>
    <t xml:space="preserve">AICI202006-5-3</t>
  </si>
  <si>
    <t xml:space="preserve">AICI202006-5-3| Realizar reuniones con los abogados del área de Talento Humano para la idenficación de los riesgos jurídicos (05/04/2021 - 30/11/2021)</t>
  </si>
  <si>
    <t xml:space="preserve">AICI202006-6</t>
  </si>
  <si>
    <t xml:space="preserve">INCONFORMIDAD No. 6: No se observa gestión de las actividades de mitigación de los riesgos identificados en el mapa de riesgos.</t>
  </si>
  <si>
    <t xml:space="preserve">No se presentan soportes de la gestión de las actividades de mitigación de los riesgos</t>
  </si>
  <si>
    <t xml:space="preserve">AICI202006-6-1</t>
  </si>
  <si>
    <t xml:space="preserve">AICI202006-6-1| Implementar la herramienta tecnológica INCAX para el control y el registro unificado de la información de incapacidades, con las validaciones necesarias para aportar seguridad y confiabilidad al proceso (05/04/2021 - 30/11/2021)</t>
  </si>
  <si>
    <t xml:space="preserve">AICI202006-7</t>
  </si>
  <si>
    <t xml:space="preserve">INCONFORMIDAD No. 7: El documento INSTRUCTIVO DE INCAPACIDADES CÓDIGO: AP-TH-I-24-02, no describe minuciosamente cada uno de los pasos ejecutados en el proceso y descritos de manera detallada en el punto 8.1 por lo que dicho documento debe ser reformulado conforme a lo expuesto en la No conformidad No. 1, especificando los puntos de control del proceso. A esto se suma que los formatos físicos o magnéticos que se manejan en la gestión de incapacidades, el instructivo resultante y todos los demás documentos utilizados en la gestión de incapacidades, no se encuentran normalizados, acorde a los parámetros de gestión documental y socializados al personal.</t>
  </si>
  <si>
    <t xml:space="preserve">AICI202006-7-1</t>
  </si>
  <si>
    <t xml:space="preserve">AICI202006-7-1| Actualizar el instructivo de Incapacidades AP-TH-I-24-02 como soporte del desarrollo de las actividades de Incapacidades y su regulación y solicitar al área de Calidad su normalización (05/04/2021 - 31/08/2021)</t>
  </si>
  <si>
    <t xml:space="preserve">AICI202006-8</t>
  </si>
  <si>
    <t xml:space="preserve">INCONFORMIDAD No. 8: No se cuenta con suficiente talento humano para desarrollar las actividades del proceso, se evidencia sobrecarga de trabajo en la Técnico Administrativo Cindy Limas, quien no alcanza a cubrir la totalidad de tareas que requiere el proceso.</t>
  </si>
  <si>
    <t xml:space="preserve">incapacidades cuenta con 2 tecnicos para el proceso y el apoyo parcial de los profesionales del area</t>
  </si>
  <si>
    <t xml:space="preserve">AICI202006-8-1</t>
  </si>
  <si>
    <t xml:space="preserve">AICI202006-8-1| Asignar a la profesional Marcela Iglesias para ejercer las labores de apoyo y controles, asignar a Adriana Cristancho líder de Nómina el monitoreo y seguimiento al proceso de Incapacidades y la técnico operativo Matilde Sánchez Maldonado para realizar actividades y apoyar la gestión de incapacidades (22/02/2021 - 15/03/2021)</t>
  </si>
  <si>
    <t xml:space="preserve">AICI202006-9</t>
  </si>
  <si>
    <t xml:space="preserve">INCONFORMIDAD No. 9: No se tiene claramente definido como liquidar adecuadamente los días, específicamente en los casos en que la incapacidad enuncia un número de días, que no coinciden con las fechas de principio y fin de la incapacidad, las prórrogas por diagnósticos relacionados y los valores a liquidar cuando los cálculos de las liquidaciones no corresponden entre la liquidación de la base de Excel e Hipócrates.</t>
  </si>
  <si>
    <t xml:space="preserve">Se manejan dos bases de registro incapacidades y liquidacion de incapacidades, lo que no fáciilita la trazabilidad de la incapcidad.</t>
  </si>
  <si>
    <t xml:space="preserve">AICI202006-9-1</t>
  </si>
  <si>
    <t xml:space="preserve">AICI202006-9-1| Implementar el sistema tecnológico Sinergy, para liquidar las incapacidades de acuerdo a la información reportada en los documentos emitidos por la EPS. (01/01/2021 - 30/09/2021)</t>
  </si>
  <si>
    <t xml:space="preserve">AICI202006-9-2</t>
  </si>
  <si>
    <t xml:space="preserve">AICI202006-9-2| Asignar un técnico para recibir las incapacidades y revisar todos los aspectos como el formato y la información allí descrita, si es necesario la incapacidad será devuelta al funcionario para tramitar su corrección o cambio. (01/04/2021 - 15/04/2021)</t>
  </si>
  <si>
    <t xml:space="preserve">SIPI202108</t>
  </si>
  <si>
    <t xml:space="preserve">Plan de mejora liquidación y pago de nómina</t>
  </si>
  <si>
    <t xml:space="preserve">SIPI202108-1</t>
  </si>
  <si>
    <t xml:space="preserve">No implementación del software de Nómina Sinergy</t>
  </si>
  <si>
    <t xml:space="preserve">Imprecisiones en el proceso de liquidación y pago de la Nómina a los trabajadores de la Subred Norte.</t>
  </si>
  <si>
    <t xml:space="preserve">NÓMINA</t>
  </si>
  <si>
    <t xml:space="preserve">SIPI202108-1-1</t>
  </si>
  <si>
    <t xml:space="preserve">SIPI202108-1-1| Implementación y puesta en marcha del Software (02/01/2021 - 01/02/2021)</t>
  </si>
  <si>
    <t xml:space="preserve">SIPI202108-2</t>
  </si>
  <si>
    <t xml:space="preserve">Centralización de conocimiento y liquidación del proceso de nómina en una sola persona del área, así como en los diferentes subprocesos que conllevan a esta.</t>
  </si>
  <si>
    <t xml:space="preserve">Alto riesgo de pérdida de información o gestión del conocimiento del proceso en ausencia de quien actualmente realiza y procesa la liquidación de la nómina. Centralización del proceso y toma de decisiones con base en un criterio subjetivo y no conforme a un procedimiento establecido</t>
  </si>
  <si>
    <t xml:space="preserve">SIPI202108-2-1</t>
  </si>
  <si>
    <t xml:space="preserve">SIPI202108-2-1| Implementación del software de nómina Sinergy, capacitación y manejo del mismo por parte de todos los técnicos de nómina (02/01/2021 - 01/04/2021)</t>
  </si>
  <si>
    <t xml:space="preserve">SIPI202108-3</t>
  </si>
  <si>
    <t xml:space="preserve">Se evidencia que para el proceso de liquidación de nómina en Hipócrates los conceptos de seguridad social, retención en la fuente, incapacidades, no se encontraban parametrizados, realizándose en herramienta Excel, para cargar de manera manual en el Software de Nómina.</t>
  </si>
  <si>
    <t xml:space="preserve">Imprecisión pago nómina a colaboradores y terceros. Datos históricos de conceptos que no permiten claridad acerca de su liquidación. Reconocimiento económico posterior, en el momento de realizar ajustes en los conceptos que así se requieran a los colaboradores no presupuestados.</t>
  </si>
  <si>
    <t xml:space="preserve">SIPI202108-3-1</t>
  </si>
  <si>
    <t xml:space="preserve">SIPI202108-3-1| Parametrización de todos los conceptos en el sistema de Nómina Sinergy … (02/01/2021 - 01/09/2021)</t>
  </si>
  <si>
    <t xml:space="preserve">SIPI202108-4</t>
  </si>
  <si>
    <t xml:space="preserve">Entrega extemporánea de novedades de nómina de colaboradores, para inclusión y pago de estas en el periodo correspondiente.</t>
  </si>
  <si>
    <t xml:space="preserve">Inoportunidad en el registro o pago según sea el caso a los funcionarios de novedades como: trabajo suplementario, incapacidades, ausencias injustificadas, interrupciones de vacaciones.</t>
  </si>
  <si>
    <t xml:space="preserve">SIPI202108-4-1</t>
  </si>
  <si>
    <t xml:space="preserve">SIPI202108-4-1| Elaborar y publicar la circular e instructivo sobre fechas de corte de novedades y sensibilización  (01/05/2020 - 01/08/2021)</t>
  </si>
  <si>
    <t xml:space="preserve">SIPI202108-5</t>
  </si>
  <si>
    <t xml:space="preserve">A la fecha 31 de mayo de 2021, se han evidenciado 70 casos entre Licencias e Incapacidades superiores a 180 días de la vigencias 2020, no reportados ni registrados en la data del Sistema de Nómina. (Anexo 1 Hallazgo 70 casos licencias e incapacidades SISS Norte ESE)</t>
  </si>
  <si>
    <t xml:space="preserve">Errores en cálculo de pagos de prestaciones en el periodo correspondiente.Realización de ajustes sobre causación de disfrute de vacaciones.Reconocimiento de pagos sin que se cumpla todos los requisitos para tal fin.</t>
  </si>
  <si>
    <t xml:space="preserve">SIPI202108-5-1</t>
  </si>
  <si>
    <t xml:space="preserve">SIPI202108-5-1| Reporte inmediato a la Subgerencia Corporativa. (05/03/2021 - 01/04/2021)</t>
  </si>
  <si>
    <t xml:space="preserve">SIPI202108-7</t>
  </si>
  <si>
    <t xml:space="preserve">Error en la formulación de las provisiones y en consolidación de obligaciones de laborales de los trabajadores de la Subred Norte.</t>
  </si>
  <si>
    <t xml:space="preserve">Sobrestimación de las obligaciones laborales de los trabajadores de planta, que por ejemplo llevan a la reversión el pasivo laboral por parte del área contable en Diciembre de 2020 y enero de 2021 (reversión que se hizo de forma autónoma por parte de la contadora sin informar a la Dirección de TH)</t>
  </si>
  <si>
    <t xml:space="preserve">SIPI202108-7-1</t>
  </si>
  <si>
    <t xml:space="preserve">SIPI202108-7-1| Realizar sesiones de trabajo con la Dirección Financiera (Proceso de contabilidad) ,,, (02/01/2021 - 30/06/2021)</t>
  </si>
  <si>
    <t xml:space="preserve">SIPI202108-8</t>
  </si>
  <si>
    <t xml:space="preserve">No se realizó el pago de Bonificación por Servicios a 18 funcionarios año 2020. (Anexo 2 Listado 18 funcionarios bonificación 2020 no pagada)</t>
  </si>
  <si>
    <t xml:space="preserve">Inconformidad de funcionarios por incumplimiento en el pago Ajuste presupuestal para el pago de $29.452.000 (aprox.) en la vigencia 2021.Ajuste doceava prima de vacaciones en los 18 funcionarios $5.621.000 (aprox)</t>
  </si>
  <si>
    <t xml:space="preserve">SIPI202108-8-1</t>
  </si>
  <si>
    <t xml:space="preserve">SIPI202108-8-1| Realizar el cálculo real de los valores a pagar según ajustes, para los colaboradores que tengan esta novedad (02/01/2021 - 30/08/2021)</t>
  </si>
  <si>
    <t xml:space="preserve">SIPI202108-9</t>
  </si>
  <si>
    <t xml:space="preserve">Pagos de salarios (50%) y otros factores prestacionales (prima semestral incompleta, afectando prima de vacaciones y navidad) en casos de incapacidades superiores a180 días, lo anterior, sin que el funcionario o el responsable del pago reconociera el mismo a la entidad, omitiendo así lo descrito por la norma (Anexo 3 Incapacidades superiores 180 días SISS Norte ESE)</t>
  </si>
  <si>
    <t xml:space="preserve">Afectación de recursos de la entidad tales como:Pagos a colaboradores de salarios completos que pueden llegar a ser o no reconocidos por los terceros correspondientes.Pagos a colaboradores de salarios y factores que no serán reconocidos por terceros y deberán ir a saneamiento contable por prescripción.</t>
  </si>
  <si>
    <t xml:space="preserve">SIPI202108-9-1</t>
  </si>
  <si>
    <t xml:space="preserve">SIPI202108-9-1| Identificar y verificar el cálculo de los casos de valores pagados a funcionarios por esta novedad. (01/04/2021 - 30/07/2021)</t>
  </si>
  <si>
    <t xml:space="preserve">SIPI202108-10</t>
  </si>
  <si>
    <t xml:space="preserve">Pago de Quinquenio a funcionarios de la Subred, desconociendo novedades de ausentismo.</t>
  </si>
  <si>
    <t xml:space="preserve">Pagos efectuados en vigencias no correspondientes y reprocesos en la liquidación de nómina.</t>
  </si>
  <si>
    <t xml:space="preserve">SIPI202108-10-1</t>
  </si>
  <si>
    <t xml:space="preserve">SIPI202108-10-1| Incluir en la parametrización de este concepto de forma automática dentro del sistema de Nómina … (01/03/2021 - 30/04/2021)</t>
  </si>
  <si>
    <t xml:space="preserve">SIPI202108-11</t>
  </si>
  <si>
    <t xml:space="preserve">No pago de Quinquenio oportuno a los funcionarios de la Subred, caso Ana Oliva Zea. Lo anterior; argumentándose por parte de la técnico Luz Dary Gómez que es requisito para efectuar dicho pago, la solicitud por escrito del trabajador.</t>
  </si>
  <si>
    <t xml:space="preserve">No pago oportuno de beneficio adquirido de los colaboradores en el periodo que se debe causar.</t>
  </si>
  <si>
    <t xml:space="preserve">SIPI202108-11-1</t>
  </si>
  <si>
    <t xml:space="preserve">SIPI202108-11-1| Verificación de cumplimiento de requisitos de la colaboradora y proceder a su pago inmediato. (10/01/2021 - 01/03/2021)</t>
  </si>
  <si>
    <t xml:space="preserve">SIPI202108-12</t>
  </si>
  <si>
    <t xml:space="preserve">Debido al error en la expedición de actos administrativos, se ingresan al sistema dos Profesionales de Servicio Social Obligatorio, con cargo de Médico, teniendo cargo y asignación salarial de Enfermero: Gina Paola Cañón y Leydi Tatiana Forero.</t>
  </si>
  <si>
    <t xml:space="preserve">Pagos de salario con asignación básica más alta a la definida para el cargo Real.Afectación de los recursos de la entidad, por pagos y reconocimiento de prestaciones con base en salario errado.</t>
  </si>
  <si>
    <t xml:space="preserve">SIPI202108-12-1</t>
  </si>
  <si>
    <t xml:space="preserve">SIPI202108-12-1| Realizar verificación de los cargos y con sus respectivas asignaciones y la respectiva corrección de … (30/01/2021 - 30/01/2021)</t>
  </si>
  <si>
    <t xml:space="preserve">SIPI202108-13</t>
  </si>
  <si>
    <t xml:space="preserve">Realización de ajustes correspondientes a prima semestral y de navidad, en este caso evidenciados a través de las solicitudes hechas por parte de los funcionarios Adriana Leal y Pedro Pulido.</t>
  </si>
  <si>
    <t xml:space="preserve">Afectación de los recursos de la entidad, por pagos y reconocimiento de prestaciones con base de liquidación errada y que al ser ajustados deben pagarse en la vigencia 2021.</t>
  </si>
  <si>
    <t xml:space="preserve">SIPI202108-13-1</t>
  </si>
  <si>
    <t xml:space="preserve">SIPI202108-13-1| Realizar los ajustes y pagos correspondientes. (02/02/2021 - 30/06/2021)</t>
  </si>
  <si>
    <t xml:space="preserve">SIPI202108-14</t>
  </si>
  <si>
    <t xml:space="preserve">Se identifica que se hace un manejo inadecuado para la aprobación y autorización de descuentos y libranzas solicitador por los funcionarios, se evidenció que estas eran autorizadas por personal no delegado por el ordenador del gasto (profesional especializado y técnicos operativos) omitiendo el control sobre el 50% de pago y en las deducciones.</t>
  </si>
  <si>
    <t xml:space="preserve">Incumplimiento de la norma en cuanto al % máximo de descuentos y deducción a colaboradores.Aprobación de descuentos a funcionarios sin el procedimiento adecuado y autorización o delegación por parte del ordenar del gasto o sus asignados.</t>
  </si>
  <si>
    <t xml:space="preserve">SIPI202108-14-1</t>
  </si>
  <si>
    <t xml:space="preserve">SIPI202108-14-1| Comunicar a Cooperativas y entidades financieras sobre únicas personas autorizadas para la aprobación … (01/02/2021 - 15/04/2021)</t>
  </si>
  <si>
    <t xml:space="preserve">SIPI202108-15</t>
  </si>
  <si>
    <t xml:space="preserve">Se identifica en las validaciones para aprobación de libranzas que un mismo colaborador tiene entre 2 a 5 descuentos por diferentes créditos (incluidas contra primas)con la misma Cooperativa, aspecto que si bien es de adquisición autónoma por parte del funcionarios debería mejorar en dinámica para el beneficio de estos. Es decir, la entidad debería procurar concertar con las cooperativas beneficios para que el colaborador tenga un menor número de descuentos a través represteos y una mejor tasa. (Anexo 4 Descuentos Colaboradores SISS Norte ESE)</t>
  </si>
  <si>
    <t xml:space="preserve">Reprocesos en nómina, falta de control en los convenios y condiciones de los mismos.Afectación financiera del colaborador desmejorando su calidad de vida, pudiéndosele otorgar mayores beneficios.</t>
  </si>
  <si>
    <t xml:space="preserve">SIPI202108-15-1</t>
  </si>
  <si>
    <t xml:space="preserve">SIPI202108-15-1| Validar en la base de datos de nómina personal con más de 2 descuentos con la misma compañía (01/03/2021 - 01/01/2021)</t>
  </si>
  <si>
    <t xml:space="preserve">SIPI202108-15-2</t>
  </si>
  <si>
    <t xml:space="preserve">SIPI202108-15-2| Verificar y validar de cada uno de los convenios de libranza aspectos como vigencias, beneficios, y … (01/03/2021 - 01/01/2021)</t>
  </si>
  <si>
    <t xml:space="preserve">SIPI202108-15-3</t>
  </si>
  <si>
    <t xml:space="preserve">SIPI202108-15-3| Realizar las respectivas actualizaciones y propuestas nuevas vigencias a los convenios para libranzas de los colaboradores (01/03/2021 - 01/01/2021)</t>
  </si>
  <si>
    <t xml:space="preserve">SIPI202108-16</t>
  </si>
  <si>
    <t xml:space="preserve">Se efectuó el reconocimiento económico por concepto de quinquenio año 2016 al señor Belmer Callejas Martínez, sin que se tuviera en cuenta que presentaba 53 días de ausentismo.</t>
  </si>
  <si>
    <t xml:space="preserve">Pagos a funcionarios sin cumplimiento de los requisitos establecidos para dichos reconocimientos.A la fecha, el funcionario ha presentado 2 solicitudes de aclaración, manifiesta inconformidad por la omisión en el pago.</t>
  </si>
  <si>
    <t xml:space="preserve">SIPI202108-16-1</t>
  </si>
  <si>
    <t xml:space="preserve">SIPI202108-16-1| Realizar la validación y control de cumplimiento de requisitos para el pago de quinquenios previo al pago de colaboradores … (01/03/2021 - 01/06/2021)</t>
  </si>
  <si>
    <t xml:space="preserve">SIPI202108-16-2</t>
  </si>
  <si>
    <t xml:space="preserve">SIPI202108-16-2| Dar respuesta a derechos de petición con oficio y adjuntando la evidencia correspondiente. (01/03/2021 - 01/06/2021)</t>
  </si>
  <si>
    <t xml:space="preserve">SIPI202108-17</t>
  </si>
  <si>
    <t xml:space="preserve">Se evidencia el caso de la funcionaria María Carolina Manosalva Macías, quien según reporte del referente de enfermería durante los meses de agosto, septiembre, octubre y noviembre no se presentó a laborar ni tampoco presentó soporte que sustentará dicha ausencia injustificada, es decir; se presenta abandono de cargo sin haberse realizado el debido proceso ni sanción correspondiente.</t>
  </si>
  <si>
    <t xml:space="preserve">Pérdida de recursos para la entidad.No realización de procedimientos adecuados para este tipo de casos.Omisión de ausencias y continuidad de pagos.</t>
  </si>
  <si>
    <t xml:space="preserve">SIPI202108-17-1</t>
  </si>
  <si>
    <t xml:space="preserve">SIPI202108-17-1| Solicitar al profesional encargado de situaciones administrativas se de inicio al debido proceso para dar cierre al caso (03/12/2021 - 30/03/2021)</t>
  </si>
  <si>
    <t xml:space="preserve">SIPI202108-18</t>
  </si>
  <si>
    <t xml:space="preserve">Omisión de pago a 55 funcionarios correspondiente al beneficio de reconocimiento por permanencia vigencia 2020 (Anexo 5 Reconocimiento por permanencia 55 funcionarios)</t>
  </si>
  <si>
    <t xml:space="preserve">No pago a colaboradores del beneficio adquirido en la fecha en que se consolida el derecho.Ajustes presupuestales para realizar el pago correspondiente a dicha novedad en la vigencia 2021.</t>
  </si>
  <si>
    <t xml:space="preserve">SIPI202108-18-1</t>
  </si>
  <si>
    <t xml:space="preserve">SIPI202108-18-1| Realizar el cálculo real de los valores a pagar según ajustes, para los colaboradores que tengan esta novedad. (01/03/2021 - 01/09/2021)</t>
  </si>
  <si>
    <t xml:space="preserve">SIPI202108-19</t>
  </si>
  <si>
    <t xml:space="preserve">SIPI202108-19-1</t>
  </si>
  <si>
    <t xml:space="preserve">SIPI202108-19-1| Realizar una reunión con la Gerencia, Subgerencia Corporativa, Dirección Financiera y la Oficina Asesora Jurídica … (01/03/2021 - 01/09/2021)</t>
  </si>
  <si>
    <t xml:space="preserve">SIPI202108-20</t>
  </si>
  <si>
    <t xml:space="preserve">No inclusión de datos correspondiente EPS y AFP en el histórico para la implementación del Software Sinergy.</t>
  </si>
  <si>
    <t xml:space="preserve">Falta de información actualizada de los trabajadores dentro del nuevo software de nómina para el correcto procesamiento y liquidación. Base de datos inválida en el momento de implementación y puesta en marcha del software SinergyNo pago a colaboradores del beneficio adquirido en la fecha en que se consolida el derecho.Ajustes presupuestales para realizar el pago correspondiente a dicha novedad en la vigencia 2021.</t>
  </si>
  <si>
    <t xml:space="preserve">SIPI202108-20-1</t>
  </si>
  <si>
    <t xml:space="preserve">SIPI202108-20-1| Realizar la corrección de la información, previa validación del operador de Pila y actualización en el Sistema de Nómina (01/02/2021 - 01/07/2021)</t>
  </si>
  <si>
    <t xml:space="preserve">SIPI202108-21</t>
  </si>
  <si>
    <t xml:space="preserve">SIPI202108-21-1</t>
  </si>
  <si>
    <t xml:space="preserve">SIPI202108-21-1| Validar el total de horas extras adeudas, realizar el cálculo correspondiente y proceder con todos los pagos a los que haya lugar (15/02/2021 - 01/06/2021)</t>
  </si>
  <si>
    <t xml:space="preserve">SIPI202108-22</t>
  </si>
  <si>
    <t xml:space="preserve">Si bien se ha venido realizando la gestión correspondiente para llevar a cabo la recuperación y saneamiento de saldos relacionados con SGP, se requiere mayor celeridad en el proceso para cerrar las diferentes novedades con cada uno de los terceros.</t>
  </si>
  <si>
    <t xml:space="preserve">Depuración de los aportes patronales mediante gestiones financieras y administrativas para lograr el saneamiento del Situado Fiscal y sistema general de participaciones con las Administradoras EPS, AFP, AFC Y ARL correspondiente a las vigencias 1994-2016 y que esta actividad se refleje en los Estados Financieros de la Subred integrada de servicio de salud Norte.</t>
  </si>
  <si>
    <t xml:space="preserve">SIPI202108-22-1</t>
  </si>
  <si>
    <t xml:space="preserve">SIPI202108-22-1| Continuar con el proceso de Saneamiento de Colpensiones … (02/01/2021 - 01/08/2021)</t>
  </si>
  <si>
    <t xml:space="preserve">SIPI202108-23</t>
  </si>
  <si>
    <t xml:space="preserve">Se evidencian las siguientes situaciones:Incapacidades prescritas sin soportes para proceder con el saneamiento respectivoIncapacidades con recobro pendiente por pandemiaNo seguimiento y control de incapacidades en alguna herramientaConciliaciones con la Dirección Financiera (contabilidad, facturación y cartera) no alienadas a un solo procedimientoNo se expiden actos administrativos que soporten dichas ausencias)Subproceso manejado por técnicos, siendo este de alta complejidad y debiendo ser manejado por lo menos por un profesional especializado.Se reportan las ausencias pero los funcionarios no allegan los soportes correspondientes, no existe control por parte de los líderes.</t>
  </si>
  <si>
    <t xml:space="preserve">Tener un proceso de alta complejidad manejado por perfiles no idóneos para tal fin, los dos técnicos o uno de ellos debería esta acompañado por un profesional o profesional especializadoNo control ni seguimiento de incapacidades exacto, ágil y actualizado, por lo que impacta directamente en el presupuesto, recobro y nivel de ausentismo de la entidad.Reprocesos para la conciliación con la Dirección Financiera.</t>
  </si>
  <si>
    <t xml:space="preserve">SIPI202108-23-1</t>
  </si>
  <si>
    <t xml:space="preserve">SIPI202108-23-1| Comunicación para la implementación de la expedición de actos administrativos como lo norma el Decreto 648 … (06/01/2021 - 06/01/2021)</t>
  </si>
  <si>
    <t xml:space="preserve">SIPI202108-24</t>
  </si>
  <si>
    <t xml:space="preserve">SIPI202108-24-1</t>
  </si>
  <si>
    <t xml:space="preserve">SIPI202108-24-1| Diseñar e implementar una herramienta para el seguimiento y control de incapacidades. (01/03/2021 - 30/06/2021)</t>
  </si>
  <si>
    <t xml:space="preserve">SIPI202108-25</t>
  </si>
  <si>
    <t xml:space="preserve">Se evidencia que la entidad a pesar de haber ejecutado pagos en vigencias anteriores por concepto de compensatorios, a la fecha el no realizar un seguimiento y control a este tipo de beneficios, las diferentes formas en que cada unidad programa turnos a hoy tiene pendiente el pago de compensatorios correspondientes a las vigencias 2017,2018, 2019 y 2020.</t>
  </si>
  <si>
    <t xml:space="preserve">No otorgamiento de beneficios a los colaboradores por el número de horas laboradas semanalmente como lo norma la ley.Acumulación de compensatorios que genera una deuda para la entidad.Desmotivación, agotamiento y mal clima laboral.</t>
  </si>
  <si>
    <t xml:space="preserve">SIPI202108-25-1</t>
  </si>
  <si>
    <t xml:space="preserve">SIPI202108-25-1| Extraer a través del software de nómina los tiempos laborados y pagados que den cuenta de los compensatorios … (01/02/2021 - 01/08/2021)</t>
  </si>
  <si>
    <t xml:space="preserve">SIPI202108-25-2</t>
  </si>
  <si>
    <t xml:space="preserve">SIPI202108-25-2| Remitir a las Direcciones el consolidado de tiempos laborados pagados y pagados con los compensatorios … (01/02/2021 - 01/08/2021)</t>
  </si>
  <si>
    <t xml:space="preserve">SIPI202108-25-3</t>
  </si>
  <si>
    <t xml:space="preserve">SIPI202108-25-3| Realizar por lo menos 3 modelos o estrategias para la compensación de dicho beneficio teniendo en cuenta … (01/02/2021 - 01/08/2021)</t>
  </si>
  <si>
    <t xml:space="preserve">SIPI202108-25-4</t>
  </si>
  <si>
    <t xml:space="preserve">SIPI202108-25-4| Presentar a la Gerencia y Subgerencia Corporativa estrategias para pago de compensatorios … (01/02/2021 - 01/08/2021)</t>
  </si>
  <si>
    <t xml:space="preserve">SIPI202108-26</t>
  </si>
  <si>
    <t xml:space="preserve">SIPI202108-26-1</t>
  </si>
  <si>
    <t xml:space="preserve">SIPI202108-26-1| Capacitación a los colaboradores con personal a cargo con relación a la programación de turnos … (01/07/2021 - 01/09/2021)</t>
  </si>
  <si>
    <t xml:space="preserve">SIPI202108-27</t>
  </si>
  <si>
    <t xml:space="preserve">La técnico encargada del subproceso de cesantías realiza la liquidación y aprobación de estas a través de la herramienta Excel, generando así un alto riesgo en la exactitud y pago de las mismas, no se hace uso del software de nómina para tal fin.Adicionalmente se encuentra que los tiempos de respuesta a las solicitudes de retiro de cesantías son superiores a los normalmente requeridos para tal propósito.</t>
  </si>
  <si>
    <t xml:space="preserve">Alto riesgo de posibilidad de error en la liquidación de cesantías.Inconformidad de los colaboradores ante los tiempos de respuesta de sus solicitudes.</t>
  </si>
  <si>
    <t xml:space="preserve">SIPI202108-27-1</t>
  </si>
  <si>
    <t xml:space="preserve">SIPI202108-27-1| Parametrizar y realizar la liquidación de cesantías e informes de las mismas en el sistema de nómina Sinergy … (01/02/2021 - 01/08/2021)</t>
  </si>
  <si>
    <t xml:space="preserve">SIPI202108-27-2</t>
  </si>
  <si>
    <t xml:space="preserve">SIPI202108-27-2| Implementar la revisión de la liquidación de cesantías por un profesional especializado una vez elaboradas por la técnico. (01/02/2021 - 01/08/2021)</t>
  </si>
  <si>
    <t xml:space="preserve">SIPI202108-27-3</t>
  </si>
  <si>
    <t xml:space="preserve">SIPI202108-27-3| Vincular al Gerente en el comité de cesantías retroactivas para su aprobación y adicionalmente se implementa … (01/02/2021 - 01/08/2021)</t>
  </si>
  <si>
    <t xml:space="preserve">SIPI202108-28</t>
  </si>
  <si>
    <t xml:space="preserve">Hecha la revisión del proceso de nómina se identifica un alto pasivo vacacional del personal</t>
  </si>
  <si>
    <t xml:space="preserve">Incremento presupuestal para la entidadIncumplimiento norma para este tipo de situaciones administrativasDesmotivación y mal clima laboral</t>
  </si>
  <si>
    <t xml:space="preserve">SIPI202108-28-1</t>
  </si>
  <si>
    <t xml:space="preserve">SIPI202108-28-1| Establecer a la fecha el pasivo vacacional de cada dependencia y enviar a cada director o jefe de oficina. (01/06/2021 - 01/10/2021)</t>
  </si>
  <si>
    <t xml:space="preserve">SIPI202108-28-2</t>
  </si>
  <si>
    <t xml:space="preserve">SIPI202108-28-2| Consolidar las estrategias de programación de colaboradores que tengan pendiente por disfrutar 2 o más periodo de vacaciones. (01/06/2021 - 01/10/2021)</t>
  </si>
  <si>
    <t xml:space="preserve">SIPI202108-28-3</t>
  </si>
  <si>
    <t xml:space="preserve">SIPI202108-28-3| Remitir a cada colaborador la notificación de disfrute de sus periodos de vacaciones pendientes. (01/06/2021 - 01/10/2021)</t>
  </si>
  <si>
    <t xml:space="preserve">SIPI202108-29</t>
  </si>
  <si>
    <t xml:space="preserve">A la fecha se evidencia que si bien se han llevado a cabo acciones para la depuración de los aportes patronales mediante gestiones financieras y administrativas para lograr el saneamiento del Situado Fiscal y sistema general de participaciones con las Administradoras EPS, AFP, AFC Y ARL correspondiente a las vigencias 1994-2016, es necesario dar mayor celeridad y trámite de tal forma que se proceda a un saneamiento más rápido y que le permita a la entidad dar cierre a este proceso o minimizarlo operativamente.</t>
  </si>
  <si>
    <t xml:space="preserve">Demora en el saneamiento del Situado Fiscal y sistema general de participaciones con las Administradoras EPS, AFP, AFC Y ARL correspondiente a las vigencias 1994-2016, aspecto que se refleja directamente en los Estados Financieros de la Subred.</t>
  </si>
  <si>
    <t xml:space="preserve">SIPI202108-29-1</t>
  </si>
  <si>
    <t xml:space="preserve">SIPI202108-29-1| Solicitar el informe del estatus actual del proceso de depuración de SGP vigencia 2020. (21/01/2021 - 21/01/2021)</t>
  </si>
  <si>
    <t xml:space="preserve">SIPI202108-30</t>
  </si>
  <si>
    <t xml:space="preserve">SIPI202108-30-1</t>
  </si>
  <si>
    <t xml:space="preserve">SIPI202108-30-1| Establecer una herramienta de seguimiento, avance y control mensual de la depuración de SGP de la entidad … (01/07/2021 - 01/08/2021)</t>
  </si>
  <si>
    <t xml:space="preserve">SIPI202108-31</t>
  </si>
  <si>
    <t xml:space="preserve">No existe, ni se evidencia procedimientos con sus respectivos formatos actualizados relacionados con los diferentes subprocesos que conlleva la liquidación de nómina, incapacidades, sgp, vacaciones, cesantías y seguridad social de la entidad.</t>
  </si>
  <si>
    <t xml:space="preserve">Llevar acabo acciones y procesos relacionadas con la liquidación de nómina, incapacidades, sgp, vacaciones, cesantías y seguridad social de la entidad.</t>
  </si>
  <si>
    <t xml:space="preserve">SIPI202108-31-1</t>
  </si>
  <si>
    <t xml:space="preserve">SIPI202108-31-1| Diseñar, validar, aprobar e implementar los procedimientos y formatos para la correcta la liquidación de nómina … (01/04/2021 - 01/07/2021)</t>
  </si>
  <si>
    <t xml:space="preserve">SIPI202108-32</t>
  </si>
  <si>
    <t xml:space="preserve">No existe, ni se evidencia indicadores para dar cuenta de la liquidación de nómina, incapacidades, sgp,</t>
  </si>
  <si>
    <t xml:space="preserve">No llevar un seguimiento y control de gestión que permita tomar decisiones y definir estrategias para dar cumplimiento a los requerimientos en el tiempo oportuno.</t>
  </si>
  <si>
    <t xml:space="preserve">SIPI202108-32-1</t>
  </si>
  <si>
    <t xml:space="preserve">SIPI202108-32-1| Diseñar, validar, aprobar e implementar indicadores que den respuesta de la gestión de trámites relacionados con la liquidación de nómina (01/06/2021 - 31/12/2021)</t>
  </si>
  <si>
    <t xml:space="preserve">SIPI202108-33</t>
  </si>
  <si>
    <t xml:space="preserve">Omisiones de ingresos, pagos o inclusión de situaciones administrativas o beneficios de los colaboradores en el pago de la nómina</t>
  </si>
  <si>
    <t xml:space="preserve">Afectación en el presupuesto de la entidad al no realizar el pago oportuno de novedadesInsatisfacción y desmotivación laboral de los colaboradoresFalta de seguimiento y control de los subprocesos de nómina</t>
  </si>
  <si>
    <t xml:space="preserve">SIPI202108-33-1</t>
  </si>
  <si>
    <t xml:space="preserve">SIPI202108-33-1| Realizar la revisión de las diferentes novedades de nómina mensualmente a través de informes consolidados … (01/02/2021 - 31/12/2021)</t>
  </si>
  <si>
    <t xml:space="preserve">AICI202110</t>
  </si>
  <si>
    <t xml:space="preserve">Comités Institucionales</t>
  </si>
  <si>
    <t xml:space="preserve">2. Subgerencia de Prestación de Servicios de Salud</t>
  </si>
  <si>
    <t xml:space="preserve">AICI202110-1</t>
  </si>
  <si>
    <t xml:space="preserve">Algunas de las resoluciones de los comités tienen la normatividad descrita en el “considerando” desactualizada, en algunas resoluciones no se contempló normatividad relacionada con las funciones de cada comité, por lo cual es necesario realizar una revisión de las actuales resoluciones, la normatividad vigente relacionada con cada comité y hacer los ajustes pertinentes.</t>
  </si>
  <si>
    <t xml:space="preserve">Falta de revisión oportuna de la normatividad aplicable de acuerdo a la naturaleza de cada comité.</t>
  </si>
  <si>
    <t xml:space="preserve">MISIONAL - APOYO</t>
  </si>
  <si>
    <t xml:space="preserve">AICI202110-1-1</t>
  </si>
  <si>
    <t xml:space="preserve">AICI202110-1-1| Revisión de las normatividad aplicable vigente a cada comité. (15/09/2021 - 30/11/2021)</t>
  </si>
  <si>
    <t xml:space="preserve">AICI202110-1-2</t>
  </si>
  <si>
    <t xml:space="preserve">AICI202110-1-2| Actualización de las resoluciones que lo requieran de acuerdo a la normatividad vigente. (15/09/2021 - 30/11/2021)</t>
  </si>
  <si>
    <t xml:space="preserve">AICI202110-1-3</t>
  </si>
  <si>
    <t xml:space="preserve">AICI202110-1-3| Socialización de las resoluciones actualizadas. (15/09/2021 - 31/12/2021)</t>
  </si>
  <si>
    <t xml:space="preserve">AICI202110-2</t>
  </si>
  <si>
    <t xml:space="preserve">Se observaron fallas de coherencia entre las funciones asignadas por algunas de las resoluciones de los comités a los presidentes y secretarios de comités y las funcionesrealmente desempeñadas por estos, por lo cual se hace necesario que se haga una revisión a nivel institucional de las funciones descritas y se realicen los ajustes pertinentes para el adecuado funcionamiento técnico y normativo de los comités.</t>
  </si>
  <si>
    <t xml:space="preserve">Falta de revisión oportuna de la resolución de cada comité</t>
  </si>
  <si>
    <t xml:space="preserve">AICI202110-2-1</t>
  </si>
  <si>
    <t xml:space="preserve">AICI202110-2-1| Revisión de las funciones de los miembros de los comités contenidas en las resoluciones vigentes (15/09/2021 - 30/11/2021)</t>
  </si>
  <si>
    <t xml:space="preserve">AICI202110-2-2</t>
  </si>
  <si>
    <t xml:space="preserve">AICI202110-2-2| Actualización de las resoluciones que lo requieran de acuerdo a la revisión realizada. (15/09/2021 - 30/11/2021)</t>
  </si>
  <si>
    <t xml:space="preserve">AICI202110-2-3</t>
  </si>
  <si>
    <t xml:space="preserve">AICI202110-2-3| Socialización de las resoluciones actualizadas (15/09/2021 - 31/12/2021)</t>
  </si>
  <si>
    <t xml:space="preserve">AICI202110-3</t>
  </si>
  <si>
    <t xml:space="preserve">No todos los presidentes/delegados de presidentes y secretarios de comités institucionales han participado en un proceso de inducción al asumir su función, el cual incluye la socialización de los lineamientos para el funcionamiento de comités institucionales, el instructivo para la gestión de comités institucionales, la entrega de la resolución de conformación del comité al cual pertenece, las socialización de las funciones del presidente/delegado del residente/secretario del comité, la metodología/reglamento interno del comité al cual pertenece, el plan de acción delcomité y la entrega del archivo documental físico/magnético con actas y soportes de la gestión del comité, además de otra información requerida. (Es importante mencionar que esta información, debe ser extensiva a todos los integrantes de los comités)</t>
  </si>
  <si>
    <t xml:space="preserve">Débil empalme al presentarse cambios en los presidentes y secretarios de comité.</t>
  </si>
  <si>
    <t xml:space="preserve">MISIONAL - APOYO -GESTION DE CALIDAD</t>
  </si>
  <si>
    <t xml:space="preserve">AICI202110-3-1</t>
  </si>
  <si>
    <t xml:space="preserve">AICI202110-3-1| Revisión y actualización de los documentos relacionados con la gestión de los comités misionales (15/09/2021 - 30/11/2021)</t>
  </si>
  <si>
    <t xml:space="preserve">AICI202110-3-2</t>
  </si>
  <si>
    <t xml:space="preserve">AICI202110-3-2| Documentar la inducción y capacitación en los lineamientos actualizados para el funcionamiento ,,, (15/09/2021 - 31/12/2021)</t>
  </si>
  <si>
    <t xml:space="preserve">AICI202110-4</t>
  </si>
  <si>
    <t xml:space="preserve">La Subred no cuenta con un procedimiento/lineamiento documentado que permita garantizar el empalme y entrega de información y documentación relativa a la gestión de los comités, entre funcionarios entrantes y salientes, lo cual puede originar vacíos de conocimiento y falta de continuidad en la gestión que realizan.</t>
  </si>
  <si>
    <t xml:space="preserve">Falta de revisión oportuna del instructivo existente.</t>
  </si>
  <si>
    <t xml:space="preserve">AICI202110-4-1</t>
  </si>
  <si>
    <t xml:space="preserve">AICI202110-4-1| Revisión y actualización del documento Instructivo para la Gestión de los Comités Institucionales … (15/09/2021 - 30/12/2021)</t>
  </si>
  <si>
    <t xml:space="preserve">AICI202110-4-2</t>
  </si>
  <si>
    <t xml:space="preserve">AICI202110-4-2| Socialización del documento actualizado. (15/09/2021 - 31/12/2021)</t>
  </si>
  <si>
    <t xml:space="preserve">AICI202110-5</t>
  </si>
  <si>
    <t xml:space="preserve">No todas las resoluciones de comités y/o el instructivo para la gestión de comités institucionales describen un lineamiento institucional único que establezca las condiciones de asistencia obligatoria de los miembros a las reuniones de comités ya sean estos, presenciales o virtuales, los motivos institucionalmente aceptados para ausentarse y sus mecanismos para soportarlos, la delegación de asistencia, laverificación del quorum y el reporte de este en las actas de reunión. Esta está incidiendo en los niveles de ausentismo, la capacidad de análisis del comité, la toma de decisiones y la gestión final de estos órganos de control institucional.</t>
  </si>
  <si>
    <t xml:space="preserve">AICI202110-5-1</t>
  </si>
  <si>
    <t xml:space="preserve">AICI202110-5-1| Revisión y actualización del documento Instructivo para la Gestión de los Comités Institucionales … (15/09/2021 - 30/12/2021)</t>
  </si>
  <si>
    <t xml:space="preserve">AICI202110-5-2</t>
  </si>
  <si>
    <t xml:space="preserve">AICI202110-5-2| Socialización de los documentos actualizados. (15/09/2021 - 30/12/2021)</t>
  </si>
  <si>
    <t xml:space="preserve">AICI202110-6</t>
  </si>
  <si>
    <t xml:space="preserve">En algunas actas de los comités institucionales se evidenció la presentación de indicadores y/o informes que muestran incumplimiento de estándares establecidos o con las metas definidas por los procesos de la institución, sin embargo, no se observa ningún análisis al respecto y por ende no se toman decisiones encaminadas al mejoramiento. Esta situación impide que se dé cumplimiento a la función deevaluación del riesgo que deben cumplir los comités.</t>
  </si>
  <si>
    <t xml:space="preserve">Debilidad en la elaboración y diligenciamiento de las actas de los comités institucionales.</t>
  </si>
  <si>
    <t xml:space="preserve">AICI202110-6-1</t>
  </si>
  <si>
    <t xml:space="preserve">AICI202110-6-1| Diligenciamiento de las actas de acuerdo a los lineamientos establecidos en el documento … (15/09/2021 - 31/03/2023)</t>
  </si>
  <si>
    <t xml:space="preserve">AICI202110-6-2</t>
  </si>
  <si>
    <t xml:space="preserve">AICI202110-6-2| Actualizar y socializar Herramienta de seguimiento a la Gestión de los Comités ES-GC-F-45. (15/09/2021 - 31/03/2023)</t>
  </si>
  <si>
    <t xml:space="preserve">AICI202110-6-3</t>
  </si>
  <si>
    <t xml:space="preserve">AICI202110-6-3| Realizar verificación de la calidad de las actas a través del seguimiento realizado por la Oficina de calidad (01/01/2022 - 31/03/2023)</t>
  </si>
  <si>
    <t xml:space="preserve">AICI202110-6-4</t>
  </si>
  <si>
    <t xml:space="preserve">AICI202110-6-4| Presentar informe de los hallazgos a cada comité (01/05/2022 - 31/03/2023)</t>
  </si>
  <si>
    <t xml:space="preserve">AICI202110-7</t>
  </si>
  <si>
    <t xml:space="preserve">Se observaron algunas inconsistencias en la elaboración, seguimiento y evaluación de los planes de mejora de los comités. Algunos planes no mostraron evidencia de habersido elaborados y aprobados por los integrantes, ni registrados en el área de gestión de calidad; la definición de algunas metas no permite medición objetiva del cumplimiento;algunas de las acciones de los planes no se desarrollaron conforme a los contenidos y cronogramas del plan; no se realizó seguimiento a todos los planes de los comités y nose realizó evaluación del cumplimiento de todos los planes de acción de los comités por parte de los integrantes del mismo.</t>
  </si>
  <si>
    <t xml:space="preserve">Desconocimiento e incumplimiento de los lineamientos establecidos para la elaboración y seguimiento a los planes de acción y de mejora de los comités.</t>
  </si>
  <si>
    <t xml:space="preserve">AICI202110-7-1</t>
  </si>
  <si>
    <t xml:space="preserve">AICI202110-7-1| Socializar los Lineamientos generales para el seguimiento a compromisos derivados de auditorías … (15/09/2021 - 31/03/2023)</t>
  </si>
  <si>
    <t xml:space="preserve">AICI202110-7-2</t>
  </si>
  <si>
    <t xml:space="preserve">AICI202110-7-2| Socializar el Instructivo para la Gestión de los Comités Institucionales ES-GC-I-16 actualizado … (15/09/2021 - 31/12/2021)</t>
  </si>
  <si>
    <t xml:space="preserve">AICI202110-7-3</t>
  </si>
  <si>
    <t xml:space="preserve">AICI202110-7-3| Realizar verificación de la calidad de los planes de mejora y planes de acción a través del … (01/01/2022 - 31/03/2023)</t>
  </si>
  <si>
    <t xml:space="preserve">AICI202110-7-4</t>
  </si>
  <si>
    <t xml:space="preserve">AICI202110-7-4| Presentar informe de los hallazgos a cada comité (01/05/2022 - 31/03/2023)</t>
  </si>
  <si>
    <t xml:space="preserve">AICI202110-8</t>
  </si>
  <si>
    <t xml:space="preserve">No se evidencian criterios claros para la definición de los compromisos derivados de los comités, lo cual redunda en la concertación de algunas tareas que no tienen unobjetivo coherente con los objetivos y funciones del comité, no cuentan con una meta que se pueda cuantificar objetivamente, no hay continuidad en el seguimiento de todos los compromisos y algunos de ellos no demuestran eficiencia y resolutividad en su ejecución.</t>
  </si>
  <si>
    <t xml:space="preserve">Debilidad en la planeación del funcionamiento de los comités</t>
  </si>
  <si>
    <t xml:space="preserve">AICI202110-8-1</t>
  </si>
  <si>
    <t xml:space="preserve">AICI202110-8-1| Realizar registro periódico y oportuno de la matriz de compromisos derivados de los comités … (15/09/2021 - 31/03/2023)</t>
  </si>
  <si>
    <t xml:space="preserve">AICI202110-8-2</t>
  </si>
  <si>
    <t xml:space="preserve">AICI202110-8-2| Socialización periódica y puntual de los compromisos a los responsables derivados de los comités (15/09/2021 - 31/03/2023)</t>
  </si>
  <si>
    <t xml:space="preserve">AICI202110-8-3</t>
  </si>
  <si>
    <t xml:space="preserve">AICI202110-8-3| Seguimiento y registro del avance porcentual de cumplimiento de cada compromiso en la matriz… (15/09/2021 - 31/03/2023)</t>
  </si>
  <si>
    <t xml:space="preserve">AICI202110-8-4</t>
  </si>
  <si>
    <t xml:space="preserve">AICI202110-8-4| Realizar verificación de la calidad de las actas a través del seguimiento realizado por la Oficina de Calidad (15/09/2021 - 31/03/2023)</t>
  </si>
  <si>
    <t xml:space="preserve">AICI202110-8-5</t>
  </si>
  <si>
    <t xml:space="preserve">AICI202110-8-5| Presentar informe de los hallazgos a cada comité (01/05/2022 - 31/03/2023)</t>
  </si>
  <si>
    <t xml:space="preserve">AICI202110-9</t>
  </si>
  <si>
    <t xml:space="preserve">No se está elaborando el informe ejecutivo anual de la gestión de los comités por parte del 57.14% de los comités, conforme a lo establecido por el Instructivo para la gestiónde comités institucionales. Es necesario que se elaboren los informes establecidos y sean enviados al área de calidad para hacer los análisis correspondientes.</t>
  </si>
  <si>
    <t xml:space="preserve">Desconocimiento e incumplimiento de los lineamientos establecidos para la elaboración del informe ejecutivo anual de la gestión de los comités.</t>
  </si>
  <si>
    <t xml:space="preserve">AICI202110-9-1</t>
  </si>
  <si>
    <t xml:space="preserve">AICI202110-9-1| Socializar el Instructivo para la Gestión de los Comités Institucionales ES-GC-I-16 … (15/09/2021 - 31/12/2021)</t>
  </si>
  <si>
    <t xml:space="preserve">AICI202110-9-2</t>
  </si>
  <si>
    <t xml:space="preserve">AICI202110-9-2| elaboración y presentación del informe ejecutivo anual en la primera reunión del año de cada comité (01/02/2022 - 31/03/2023)</t>
  </si>
  <si>
    <t xml:space="preserve">AICI202110-9-3</t>
  </si>
  <si>
    <t xml:space="preserve">AICI202110-9-3| Remisión del informe a gestión de calidad para consolidación, análisis y recomendaciones … (01/02/2022 - 31/03/2023)</t>
  </si>
  <si>
    <t xml:space="preserve">AICI202110-9-4</t>
  </si>
  <si>
    <t xml:space="preserve">AICI202110-9-4| Elaboración y presentación de informe consolidado que incluya análisis y recomendaciones ... (01/02/2022 - 31/03/2023)</t>
  </si>
  <si>
    <t xml:space="preserve">AICI202110-10</t>
  </si>
  <si>
    <t xml:space="preserve">Se evidenció que en algunos de los comités los archivos magnéticos derivados de la gestión del comité se encuentran en drives personales de algunos secretarios y no tienen un lineamiento claro para la custodia, conservación y entrega de la información hacia sus sucesores.</t>
  </si>
  <si>
    <t xml:space="preserve">Falta estandarización de los lineamientos para el manejo de los archivos físicos y magnéticos que soportan cada comité</t>
  </si>
  <si>
    <t xml:space="preserve">AICI202110-10-1</t>
  </si>
  <si>
    <t xml:space="preserve">AICI202110-10-1| Actualizar el Instructivo para la Gestión de los Comités Institucionales ES-GC-I-16 incluyendo … (15/09/2021 - 31/12/2021)</t>
  </si>
  <si>
    <t xml:space="preserve">AICI202110-10-2</t>
  </si>
  <si>
    <t xml:space="preserve">AICI202110-10-2| Socializar el Instructivo para la Gestión de los Comités Institucionales ES-GC-I-16 … (15/09/2021 - 31/12/2021)</t>
  </si>
  <si>
    <t xml:space="preserve">AICI202110-10-3</t>
  </si>
  <si>
    <t xml:space="preserve">AICI202110-10-3| Realizar verificación del manejo y custodia del archivo de los comités a través de la … (01/01/2022 - 31/03/2023)</t>
  </si>
  <si>
    <t xml:space="preserve">AICI202110-10-4</t>
  </si>
  <si>
    <t xml:space="preserve">AICI202110-10-4| Presentar informe de los hallazgos a cada comité (01/05/2022 - 31/03/2023)</t>
  </si>
  <si>
    <t xml:space="preserve">AICI202111</t>
  </si>
  <si>
    <t xml:space="preserve">Proyectos de inversión de infraestructura</t>
  </si>
  <si>
    <t xml:space="preserve">1.2. Desarrollo Institucional</t>
  </si>
  <si>
    <t xml:space="preserve">AICI202111-1</t>
  </si>
  <si>
    <t xml:space="preserve">No Conformidad 1. No se tiene un plan o cronograma de trabajo donde se observe que el personal que labora en esta oficina con lleve las fechas de inicio y final a las actividades o tareas propuestas para dar cumplimiento a los objetivos presentados en los proyectos para la formulación, presentación, aprobación y ejecución de los Planes Bienales de Inversiones Públicas en Salud.</t>
  </si>
  <si>
    <t xml:space="preserve">La oficina viene adelantando planes de trabajo, sin embargo las fechas cambian según los trámites e imprevistos que se presentan en el desarrollo del proceso.</t>
  </si>
  <si>
    <t xml:space="preserve">GRESTIÓN ESTRATEGICA - INFRAESTRUCTURA</t>
  </si>
  <si>
    <t xml:space="preserve">AICI202111-1-1</t>
  </si>
  <si>
    <t xml:space="preserve">AICI202111-1-1| Realizar un plan de trabajo y enviarlo  a Secretaría de Salud para su validación, teniendo en cuenta el trabajo que se lleva de la mano con Secretaría... (30/dic/2021 - 31/mar/2022)</t>
  </si>
  <si>
    <t xml:space="preserve">AICI202111-2</t>
  </si>
  <si>
    <t xml:space="preserve">No Conformidad 2.La Oficina Asesora de Desarrollo Institucional de la Subred no cuenta con un manual de procedimiento documentado para la formulación de los proyectos de Inversión, se hace necesario adoptarlo para tener claro el procedimiento para la formulación, presentación y aprobación de los Planes Bienales de Inversiones Públicas en Salud que contenga los proyectos de infraestructura y dotación definidos de acuerdo a la normatividad vigente.</t>
  </si>
  <si>
    <t xml:space="preserve">AICI202111-2-1</t>
  </si>
  <si>
    <t xml:space="preserve">AICI202111-2-1| Actualizar los Manuales de Procedimientos para el primer trimestre del año 2022... (31/12/2021 - 31/03/2023)</t>
  </si>
  <si>
    <t xml:space="preserve">AICI202111-3</t>
  </si>
  <si>
    <t xml:space="preserve">No Conformidad 3.De acuerdo a la verificación realizada no se observa la publicación de los proyectos de inversión en el portal web de la página de la Subred Norte ESE los cuales deberían estar actualizados y publicados.</t>
  </si>
  <si>
    <t xml:space="preserve">La oficina no habia evidenciado la necesidad.</t>
  </si>
  <si>
    <t xml:space="preserve">AICI202111-3-1</t>
  </si>
  <si>
    <t xml:space="preserve">AICI202111-3-1| Actualizar, complementar y publicar la información de los proyectos de inversión en el portal WEB de la subred. (01/ene/2022 - 02/abr/2022)</t>
  </si>
  <si>
    <t xml:space="preserve">AICI202111-3-2</t>
  </si>
  <si>
    <t xml:space="preserve">AICI202111-3-2| Organizar e inventariar los documentos y generar backUps de la información que reposa en el drive (01/ene/2022 - 02/abr/2022)</t>
  </si>
  <si>
    <t xml:space="preserve">AICI202111-3-3</t>
  </si>
  <si>
    <t xml:space="preserve">AICI202111-3-3| Conformar el archivo de documentos de acuerdo con las TRD aprobadas (01/01/2022 - 31/03/2023)</t>
  </si>
  <si>
    <t xml:space="preserve">AICI202111-3-4</t>
  </si>
  <si>
    <t xml:space="preserve">AICI202111-3-4| Capacitar al personal de la Oficina y lideres de los procesos, sobre Gestión Documental.   (01/ene/2022 - 02/abr/2022)</t>
  </si>
  <si>
    <t xml:space="preserve">AICI202111-4</t>
  </si>
  <si>
    <t xml:space="preserve">No Conformidad 4.Existe ausencia del control y aplicación de las tablas de retención documental dentro del proceso debido que los procesos y procedimientos aún están pendientes de normalizarse para identificar todos los tipos de documentos que se producen o se adoptan en la oficina asesora de Desarrollo Institucional con el fin de alimentar el registro de activos de información de la entidad.</t>
  </si>
  <si>
    <t xml:space="preserve">AICI202111-4-1</t>
  </si>
  <si>
    <t xml:space="preserve">AICI202111-4-1| Realizar un seguimiento a la información y adoptar el procedimiento adecuado para alojar la información, así como un BackUp de la información que reposa en el drive. (02/ene/2022 - 03/abr/2022)</t>
  </si>
  <si>
    <t xml:space="preserve">AICI202111-5</t>
  </si>
  <si>
    <t xml:space="preserve">No Conformidad 5.Se evidencia falta de una adecuada socialización dentro del grupo por parte del líder del proceso al personal auditado de los Proyectos de Inversión de infraestructura debido a que la mayoría no conoce las TDR y su gestión de trámite de transferencia documental. De acuerdo a la Ley 594 de 2000 y el acuerdo 004 de 2019 – Archivo General de la Nación</t>
  </si>
  <si>
    <t xml:space="preserve">AICI202111-5-1</t>
  </si>
  <si>
    <t xml:space="preserve">AICI202111-5-1| Capacitar al personal de los equipos sobre los procesos que desarrolla la Oficina. (03/ene/2022 - 04/abr/2022)</t>
  </si>
  <si>
    <t xml:space="preserve">AICI202111-6</t>
  </si>
  <si>
    <t xml:space="preserve">No Conformidad 6.La Oficina Asesora de Desarrollo Institucional de la Subred en el proceso para la formulación y ejecución de los proyectos de Inversión no tiene el conocimiento relacionado con la metodología para la administración del riesgo de la Subred Integrada de Servicios de Salud Norte E.S.E. ni seguimiento a los mapas de riesgo del proceso que lideran.</t>
  </si>
  <si>
    <t xml:space="preserve">AICI202111-6-1</t>
  </si>
  <si>
    <t xml:space="preserve">AICI202111-6-1| Elaborar una metodología para la administración del riesgo en cuanto a los procesos, formulación y ejecución de los proyectos de Inversión. (04/01/2022 - 31/03/2023)</t>
  </si>
  <si>
    <t xml:space="preserve">AICI202111-7</t>
  </si>
  <si>
    <t xml:space="preserve">No Conformidad 7.En el proceso de Gestión Estratégica para la formulación y ejecución de los proyectos de Inversión de la oficina de desarrollo Institucional se evidencio que el personal del proceso auditado en su mayoría no se tiene pleno conocimiento y seguimiento de las metas y acciones propuestas en el plan Operativo anual 2021.</t>
  </si>
  <si>
    <t xml:space="preserve">AICI202111-7-1</t>
  </si>
  <si>
    <t xml:space="preserve">AICI202111-7-1| Capacitar y divulgar entre el personal sobre las metas y acciones propuestas en el plan Operativo anual. (05/ene/2022 - 06/abr/2022)</t>
  </si>
  <si>
    <t xml:space="preserve">AICI202113</t>
  </si>
  <si>
    <t xml:space="preserve">Control Interno Contable</t>
  </si>
  <si>
    <t xml:space="preserve">3.2. Gestión Financiera</t>
  </si>
  <si>
    <t xml:space="preserve">AICI202113-1</t>
  </si>
  <si>
    <t xml:space="preserve">El sistema de Información Clinical Suite realiza procesos asistenciales, administrativos y financieros los cuales presenta debilidades al momento de efectuar interfaces, demoras en algunos procesos por falta de actualización y falencias en la capacidad de los servidores y de la red.</t>
  </si>
  <si>
    <t xml:space="preserve">Incumplimiento en la entrega oportuna de la informacion financiera y contable en los plazos establecidos por los Entes de control Interno y Externo</t>
  </si>
  <si>
    <t xml:space="preserve">SISTEMAS</t>
  </si>
  <si>
    <t xml:space="preserve">AICI202113-1-1</t>
  </si>
  <si>
    <t xml:space="preserve">AICI202113-1-1| Garantizar el correcto funcionamiento del sistema de informacion integral Clinical Suite mediante contrato de mantenimiento … (01/abr/2021 - 31/dic/2021)</t>
  </si>
  <si>
    <t xml:space="preserve">AICI202113-2</t>
  </si>
  <si>
    <t xml:space="preserve">Persisten las dificultades en la consecución de soportes, para el avance en la depuración de la información incluida en los estados financieros.</t>
  </si>
  <si>
    <t xml:space="preserve">Incertidumbre en el origen del registro contable a no tener soportes idoneos para el adecuado reconocimiento contable</t>
  </si>
  <si>
    <t xml:space="preserve">CONTABILIDA Y AREAS INVOLUCRADAS EN EL PROCESO CONTABLE</t>
  </si>
  <si>
    <t xml:space="preserve">AICI202113-2-1</t>
  </si>
  <si>
    <t xml:space="preserve">AICI202113-2-1| Diseñar un plan conjunto con las ares involucradas en el proceso contable para garantizar los soportes idoneos al momento de … (01/abr/2021 - 30/may/2021)</t>
  </si>
  <si>
    <t xml:space="preserve">AICI202113-3</t>
  </si>
  <si>
    <t xml:space="preserve">De igual manera, las dificultades en la recuperación de la cartera, lo que conlleva a un deterioro acumulado de cuentas por cobrar a diciembre de 2020 por valor de $188.837.738.906.</t>
  </si>
  <si>
    <t xml:space="preserve">Pérdida de recursos financieros al no tener establecido gestiones de recuperacion de cartera</t>
  </si>
  <si>
    <t xml:space="preserve">CARTERA</t>
  </si>
  <si>
    <t xml:space="preserve">AICI202113-3-1</t>
  </si>
  <si>
    <t xml:space="preserve">AICI202113-3-1| El deterioro se incremento debido a que se dio un cambio de metodología en el calculo deteriorando al 100% la cartera &gt; 720 … (01/abr/2021 - 31/dic/2021)</t>
  </si>
  <si>
    <t xml:space="preserve">AICI202113-4</t>
  </si>
  <si>
    <t xml:space="preserve">No se cuenta con un proceso de negociación y una política de descuentos aplicable a los proveedores, dentro del manual de contratación que a la vez contribuya al cumplimiento en los tiempos pactados en la forma de pago y así evitar sanciones moratorias en las obligaciones contractuales.</t>
  </si>
  <si>
    <t xml:space="preserve">Abocar a la Entidad en el pago de intereses de mora incidiendo este comportamiento en un detrimento patrimonial</t>
  </si>
  <si>
    <t xml:space="preserve">DIRECCIÓN CONTRATACIÓN -DIRECCIÓN FINANCIERA</t>
  </si>
  <si>
    <t xml:space="preserve">AICI202113-4-1</t>
  </si>
  <si>
    <t xml:space="preserve">AICI202113-4-1| Generar una politica de descuento con los proveedores (01/abr/2021 - 30/jun/2021)</t>
  </si>
  <si>
    <t xml:space="preserve">AICI202113-5</t>
  </si>
  <si>
    <t xml:space="preserve">Incluir en el Plan Institucional de Capacitación, capacitaciones que contribuyan al desarrollo de competencias y actualización permanente del personal involucrado en el proceso contable.</t>
  </si>
  <si>
    <t xml:space="preserve">Afectación en la calidad de la informacion financiera al desconocer las normatividad vigente.</t>
  </si>
  <si>
    <t xml:space="preserve">TALENTO HUMANO Y CONTABILIDAD</t>
  </si>
  <si>
    <t xml:space="preserve">AICI202113-5-1</t>
  </si>
  <si>
    <t xml:space="preserve">AICI202113-5-1| Coordinar con el area de Talento Humano plan de capacitacion donde se incluya al personal de contabilidad (01/abr/2021 - 30/jun/2021)</t>
  </si>
  <si>
    <t xml:space="preserve">AICI202113-6</t>
  </si>
  <si>
    <t xml:space="preserve">Depurar y adecuar el proceso de incapacidades de manera precisa y coordinada entre las áreas involucradas, de tal manera que se cuiden los recursos de la Subred.</t>
  </si>
  <si>
    <t xml:space="preserve">Pérdida de recursos financieros al no tener establecido gestiones de recuperacion de estos</t>
  </si>
  <si>
    <t xml:space="preserve">TALENTO HUMANO</t>
  </si>
  <si>
    <t xml:space="preserve">AICI202113-6-1</t>
  </si>
  <si>
    <t xml:space="preserve">AICI202113-6-1| Actualizar el instructivo del proceso de incapacidades incluyendo estrategias de recuperacion de estos recursos (01/abr/2021 - 31/dic/2021)</t>
  </si>
  <si>
    <t xml:space="preserve">AICI202113-7</t>
  </si>
  <si>
    <t xml:space="preserve">Adecuación del Manual de Políticas Contables, de acuerdo a las observaciones realizadas en el proceso de implementación.</t>
  </si>
  <si>
    <t xml:space="preserve">Discrepancias en los procesos aplicados versus la aplicación del manual de políticas contables</t>
  </si>
  <si>
    <t xml:space="preserve">AREAS INVOLUCRADAS EN EL PROCESO CONTABLE</t>
  </si>
  <si>
    <t xml:space="preserve">AICI202113-7-1</t>
  </si>
  <si>
    <t xml:space="preserve">AICI202113-7-1| Crear mesas de trabajo con las areas involucradas en el proceso contable con el fin de actualizar el manual de politicas contables (01/abr/2021 - 01/jun/2021)</t>
  </si>
  <si>
    <t xml:space="preserve">AICI202113-8</t>
  </si>
  <si>
    <t xml:space="preserve">Crear puntos de control para verificar que los hechos económicos estén respaldados con soportes idóneos, y contar con la documentación anexa en cada uno de los comprobantes para así brindar una buena gestión documental y dar trazabilidad de los registros.</t>
  </si>
  <si>
    <t xml:space="preserve">CONTABILIDAD Y AREAS INVOLUCRADAS EN EL PROCESO CONTABLE</t>
  </si>
  <si>
    <t xml:space="preserve">AICI202113-8-1</t>
  </si>
  <si>
    <t xml:space="preserve">AICI202113-8-1| Diseñar un plan conjunto con las ares involucradas en el proceso contable para garantizar los soportes idoneos al momento de …8 (01/abr/2021 - 30/may/2021)</t>
  </si>
  <si>
    <t xml:space="preserve">AICI202113-9</t>
  </si>
  <si>
    <t xml:space="preserve">Adecuar e implementar en el Sistema de Información, los módulos de Nóminas y Costos dentro del proceso contable, evitando riesgos y reprocesos al realizar la migración de los registros en forma manual en archivos planos para el manejo de esta información.</t>
  </si>
  <si>
    <t xml:space="preserve">Incertidumbre las cifras presentada en los estados financieros, respecto a la informacion de nómina y costos al carecer de un software sistema de informacion integral.</t>
  </si>
  <si>
    <t xml:space="preserve">TALENTO HUMANO Y COSTOS</t>
  </si>
  <si>
    <t xml:space="preserve">AICI202113-9-1</t>
  </si>
  <si>
    <t xml:space="preserve">AICI202113-9-1| Garantizar el correcto funcionamiento del sistema de informacion integral Clinical Suite mediante contrato de mantenimiento …9 (01/abr/2021 - 31/dic/2021)</t>
  </si>
  <si>
    <t xml:space="preserve">AICI202114</t>
  </si>
  <si>
    <t xml:space="preserve">Mantenimiento de Vehículos</t>
  </si>
  <si>
    <t xml:space="preserve">3.3. Gestión Administrativa</t>
  </si>
  <si>
    <t xml:space="preserve">AICI202114-1</t>
  </si>
  <si>
    <t xml:space="preserve">1. El grupo de mantenimiento del parque automotor no tiene conocimiento relacionado con la metodología para la administración del riesgo de la Subred Integrada de Servicios de Salud Norte E.S.E. ni conocimiento y seguimiento a los mapas de riesgo del proceso que lideran.</t>
  </si>
  <si>
    <t xml:space="preserve">A la fecha no se han dado los espacios de capacitación al recurso humano del área de mantenimiento vehículos con respecto a la metodología para la administración del riesgo de la Subred Integrada de Servicios de Salud Norte E.S.E.</t>
  </si>
  <si>
    <t xml:space="preserve">MANTENIMIENTO VEHÍCULOS</t>
  </si>
  <si>
    <t xml:space="preserve">AICI202114-1-1</t>
  </si>
  <si>
    <t xml:space="preserve">AICI202114-1-1| Capacitar al recurso humano de mantenimiento del parque automotor por concepto de metodología para la administración del riesgo. (01/feb/2022 - 30/jul/2022)</t>
  </si>
  <si>
    <t xml:space="preserve">AICI202114-1-2</t>
  </si>
  <si>
    <t xml:space="preserve">AICI202114-1-2| Realizar actualización y seguimiento a los mapas de riesgo del proceso (01/feb/2022 - 30/jul/2022)</t>
  </si>
  <si>
    <t xml:space="preserve">AICI202114-2</t>
  </si>
  <si>
    <t xml:space="preserve">2. La gestión de la administración del parque automotor de la Subred no cuenta con un manual de procedimiento documentado para el manejo del parque automotor, se hace necesario adoptar para tener claro el procedimiento tanto del mismo parque como el manejo del mantenimiento preventivo y el correctivo.</t>
  </si>
  <si>
    <t xml:space="preserve">Actualmente se cuenta con un proceso publicado en la Intranet que se encuentra desactualizado ya que no refleja las actividades,el orden y la metodología para su aplicación adecuada.</t>
  </si>
  <si>
    <t xml:space="preserve">AICI202114-2-1</t>
  </si>
  <si>
    <t xml:space="preserve">AICI202114-2-1| Actualizar el procedimiento  del manejo parque automotor y su normalización y aprobación por el área de calidad. (01/feb/2022 - 31/jul/2022)</t>
  </si>
  <si>
    <t xml:space="preserve">AICI202114-3</t>
  </si>
  <si>
    <t xml:space="preserve">3.Se evidenció que no se dio cumplimiento a lo establecido en las cláusulas contractuales en las obligaciones específicas que hacen referencia a los conceptos de repuestos y partes que no se encuentren enlistado en el anexo económico de estos contratos verificados, en que se debe presentar los soportes de cotización al técnico o supervisor del contrato con visto bueno sin presentar precio especulado o excedido y que deben anexarse a las hojas de vida del parque automotor.</t>
  </si>
  <si>
    <t xml:space="preserve">La validación se realiza, sin embargo al archivo de la Subred Integrada de servicios de Salud norte E.S.E no se adjunta copia de la cotizacion con la anotacion "Aprobado" como sello de autorizacion de la cotizacion para los valores de los repuestos y mano de obra ya que dicho soporte queda en custodia del taller.</t>
  </si>
  <si>
    <t xml:space="preserve">AICI202114-3-1</t>
  </si>
  <si>
    <t xml:space="preserve">AICI202114-3-1| Solicitar al taller los soportes de las cotizaciones con el sello "Aprobado" con el fin de evidenciar la validación de la cotización (13/feb/2022 - 30/nov/2022)</t>
  </si>
  <si>
    <t xml:space="preserve">AICI202114-4</t>
  </si>
  <si>
    <t xml:space="preserve">4.Se observa valores facturados superiores a los contenidos en la oferta económica de los contratos verificados como se observa en el informe.</t>
  </si>
  <si>
    <t xml:space="preserve">Los valores identificados, la diferencia se da por un error de lectura en el item y la placa asociada</t>
  </si>
  <si>
    <t xml:space="preserve">AICI202114-4-1</t>
  </si>
  <si>
    <t xml:space="preserve">AICI202114-4-1| Realizar un muestreo con valores y placas de las 5 cotizaciones con mayor valor a fin de verificar la exactitud en los valores (13/feb/2022 - 30/nov/2022)</t>
  </si>
  <si>
    <t xml:space="preserve">AICI202114-5</t>
  </si>
  <si>
    <t xml:space="preserve">5. Las ambulancias (OBE943, OBG057 y OBC571) se encuentran en el parqueadero de la Unidad de Servicios de Salud Emaus que se encuentran fuera de servicio por lo que se requiere tomar una decisión urgente de dar de bajar para su venta con el fin de no seguir generando gastos de pago de los impuestos anuales. Además estos vehículos se encuentran en total abandono y a su exposición al sol y agua hace que se deterioren las partes que aun sirven de estos vehículos.</t>
  </si>
  <si>
    <t xml:space="preserve">La falta de gestión administrativa hace que generen gastos inapropiados y demoren el proceso de legalización estos bienes vehiculares para dar de baja de los automotores que se encuentran en esas circunstancias.</t>
  </si>
  <si>
    <t xml:space="preserve">ACTIVOS FIJOS - PARQUE AUTOMOTOR</t>
  </si>
  <si>
    <t xml:space="preserve">AICI202114-5-1</t>
  </si>
  <si>
    <t xml:space="preserve">AICI202114-5-1| Realizar el proceso de legalización estos bienes vehiculares para dar de baja de los automotores que se encuentran en esas ... (01/feb/2021 - 30/jun/2022)</t>
  </si>
  <si>
    <t xml:space="preserve">AICI202114-6</t>
  </si>
  <si>
    <t xml:space="preserve">6. Se evidenciaron inconsistencias en los trabajos alistados por el taller Toyocar´s que se realizaron aproximadamente hace más de un año por un valor $ 73.644.080 por costos de reparación y otros arreglos, además este vehículo está en proceso para dar de baja en la presente vigencia.El caso de esta ambulancia por reparación de motor y demás arreglos no se aplicó el proceso de garantía a las fallas presentadas por esta ambulancia, además no cuenta con la trazabilidad de aquellos casos se presuma un tema de garantía.</t>
  </si>
  <si>
    <t xml:space="preserve">Dado el modelo, el kilometraje recorrido, su estado actual, y la operatividad permanente de 24 horas con diferente tripulación lleva a que estos vehículos presente continuas fallas que lo llevan a un continúo ingreso al taller, aumentando sus costos de mantenimiento.</t>
  </si>
  <si>
    <t xml:space="preserve">AICI202114-6-1</t>
  </si>
  <si>
    <t xml:space="preserve">AICI202114-6-1| Realizar estudio de costo beneficio para determinar la viabilidad de mantener operativo el  vehículo, o recomendar su baja.  (10/feb/2020 - 30/jun/2022)</t>
  </si>
  <si>
    <t xml:space="preserve">AICI202114-7</t>
  </si>
  <si>
    <t xml:space="preserve">7. No se cuenta con un procedimiento documentado en lo referente a la trazabilidad de aquellos casos en los cuales se presume un tema de garantía, junto con los soportes que originen la reclamación y/o el diagnostico dado por el proveedor sobre si es o no una garantía.</t>
  </si>
  <si>
    <t xml:space="preserve">No se contaba con una herramienta que facilitara la validacion con los soportes de liquidaciones facturadas a fin de hacer efectiva la garantia, asi como un documento que registrara el evento.</t>
  </si>
  <si>
    <t xml:space="preserve">AICI202114-7-1</t>
  </si>
  <si>
    <t xml:space="preserve">AICI202114-7-1| Implementar dentro de la base de datos de los vehiculos un  formato de  registro de los servicios facturados con el fin de ... (01/feb/2022 - 31/oct/2022)</t>
  </si>
  <si>
    <t xml:space="preserve">AICI202114-8</t>
  </si>
  <si>
    <t xml:space="preserve">8. Se analizó que existen fallas de registros de ingreso de las fechas posteriormente y anteriormente con respecto al modelo de los automotores al sistema al módulo de inventarios que hacen que sobreestimen más o menos la depreciación real de los vehículos con respecto a su vida útil.</t>
  </si>
  <si>
    <t xml:space="preserve">Al momento del cargue de la información al modulo de activos fijos de la Subred norte con la información de todos los hospitales, se generaron inconsistencia en los datos incorporados, los cuales se reflejan posteriormente y deben ser sujeto de ajustes.</t>
  </si>
  <si>
    <t xml:space="preserve">AICI202114-8-1</t>
  </si>
  <si>
    <t xml:space="preserve">AICI202114-8-1| Llevar a cabo la revisión del módulo de activos fijos para ajustar las fechas de ingreso y modelo de los automotores (01/nov/2021 - 31/mar/2022)</t>
  </si>
  <si>
    <t xml:space="preserve">AICI202114-9</t>
  </si>
  <si>
    <t xml:space="preserve">a). El contrato 022 de 2020 - TOYOCAR´S INGENIERIA AUTOMOTRIZ LIMITADA. Su objetivo es contratar servicio de mano de obra, el mantenimiento preventivo y correctivo, suministro de repuestos, suministro de llantas y lubricantes, la revisión técnico mecánica y de emisiones contaminantes, para los vehículos del programa de APH, (vehículos de atención médica. que se destinan para dar cumplimiento al convenio interadministrativo firmado con el fondo financiero distrital de salud) b). El contrato 044 de 2020 - TOYOCAR´S INGENIERIA AUTOMOTRIZ LIMITADA. Su objeto es contratar servicio de mano de obra de mantenimiento preventivo y correctivo, suministro de repuestos, llantas, lubricantes, revisión técnico mecánica y de gases de los vehículos de apoyo administrativo upas, rutas saludables y ambulancias – secundarias – traslados internos (las que se establezcan para dar cumplimiento a las necesidades de la subred)</t>
  </si>
  <si>
    <t xml:space="preserve">Dar cumplimiento a lo estipulado en la resolución No 1200 de 2017 - Manual deContratación en su ítem Etapa Poscontractual (Liquidación del Contrato) y el Acuerdo 24 de 2017 ensu artículo 14 (Fase de Liquidación de Contratos)</t>
  </si>
  <si>
    <t xml:space="preserve">AICI202114-9-1</t>
  </si>
  <si>
    <t xml:space="preserve">AICI202114-9-1| Realizar el proceso de liquidación de los contratos 022 y 044 de 2020 (01/dic/2021 - 30/jun/2022)</t>
  </si>
  <si>
    <t xml:space="preserve">AICI202116</t>
  </si>
  <si>
    <t xml:space="preserve">Rutas Integrales de Atención en Salud</t>
  </si>
  <si>
    <t xml:space="preserve">2.5. Gestión del Riesgo en Salud</t>
  </si>
  <si>
    <t xml:space="preserve">AICI202116-1</t>
  </si>
  <si>
    <t xml:space="preserve">No conformidad No. 1. No se evidenciaron procesos de capacitación del personal que operativiza las Rutas en lo referente al plan estratégico asociado con las RIAS, de manera que se logre coherencia necesaria entre procesos, para articular y alinear todas las actividades hacia el cumplimiento de los objetivos y metas institucionales, tal como se establece en el componente de ambiente de control del MECI.</t>
  </si>
  <si>
    <t xml:space="preserve">No socializacion del plan estrategico de la Direccion de Gestion del Riesgo asociado a las RIAS al equipo operativo</t>
  </si>
  <si>
    <t xml:space="preserve">DIRECCION DE GESTION DEL RIESGO</t>
  </si>
  <si>
    <t xml:space="preserve">AICI202116-1-1</t>
  </si>
  <si>
    <t xml:space="preserve">AICI202116-1-1| Socializar plan estrategico de la Direccion de Gestion del Riesgo al 90% con una meta 400 personas que involucran el talento humano que operativiza … (01/mar/2022 - 30/sept/2022)</t>
  </si>
  <si>
    <t xml:space="preserve">AICI202116-2</t>
  </si>
  <si>
    <t xml:space="preserve">No conformidad No. 2. No se evidencia la definición institucional de una capacidad instalada para operar las rutas, ni una estructura completamente definida con líneas de autoridad formalizadas y socializadas que faciliten el control de las actividades, los procesos de comunicación y supervisión.</t>
  </si>
  <si>
    <t xml:space="preserve">Ausencia en la definicion capacidad instalada de recurso humano e infraestructura de la en los procedimientos de las rutas</t>
  </si>
  <si>
    <t xml:space="preserve">DIRECCION DE AMBULATORIOSDIRECCION GESTION DEL RIESGODIRECCION DE URGENCIASDIRECCION DE HOSPITALIZACIONDIRECCION DE SERVICIOS COMPLEMENTARIOS JEFE DE PLANEACION INSTITUCIONAL</t>
  </si>
  <si>
    <t xml:space="preserve">AICI202116-2-1</t>
  </si>
  <si>
    <t xml:space="preserve">AICI202116-2-1| Actualizar los documentos de todas las Rutas, adicionando item de: 1. Capacidad instalada y talento humano de acuerdoa la poblacion asginada. 2… (01/mar/2022 - 30/nov/2022)</t>
  </si>
  <si>
    <t xml:space="preserve">AICI202116-3</t>
  </si>
  <si>
    <t xml:space="preserve">No conformidad No. 3. El proceso de Gestión del Riesgo en Salud se encuentra trabajando sobre riesgos y actividades de mitigación identificados en vigencias anteriores y no en los riesgos del mapa de riesgos institucional vigente. Al revisar el mapa de riesgos vigente se evidencian fallas de coherencia entre riesgos, causas y actividades. Por lo tanto, se han presentado fallas en los procedimientos de identificación de riesgos, la implementación de actividades de mitigación y seguimiento institucional. Es necesario que la institución y elproceso revisen el tema para nstaurar los controles necesarios y garantizar su correcta implementación y seguimiento.</t>
  </si>
  <si>
    <t xml:space="preserve">No se realizo socializacion por parte de Desarrollo Institucional del mapa de riesgos institucional definitivo para la direccion de gestion del riesgo</t>
  </si>
  <si>
    <t xml:space="preserve">DIRECCION GESTION DEL RIESG OFICINA DE DESARROLLO INSTITUCIONAL</t>
  </si>
  <si>
    <t xml:space="preserve">AICI202116-3-1</t>
  </si>
  <si>
    <t xml:space="preserve">AICI202116-3-1| Trabajar las acciones para mitigar los riesgos con Desarrollo Institucional y la Direccion de Gestion del Riesgo articulando el del Mapa de Riesgo … (01/mar/2022 - 30/jun/2022)</t>
  </si>
  <si>
    <t xml:space="preserve">AICI202116-4</t>
  </si>
  <si>
    <t xml:space="preserve">No conformidad No. 4. Las RIAS no se describen de manera explícita en los procedimientos del proceso de Gestión del Riesgo en Salud, es necesario hacer una revisión del tema y hacer los ajustes pertinentes.</t>
  </si>
  <si>
    <t xml:space="preserve">No se cuenta con la actualizacion de los procesos y procedimiento de la direccion</t>
  </si>
  <si>
    <t xml:space="preserve">DIRECCION GESTION DEL RIESGOCALIDAD: GESTION DOCUMENTAL</t>
  </si>
  <si>
    <t xml:space="preserve">AICI202116-4-1</t>
  </si>
  <si>
    <t xml:space="preserve">AICI202116-4-1| Actualizar la caracterizacion de la Direccion de Gestion del Riesgo y los procesos las actividades de las RIAS en los procesos procedimientos … (01/mar/2022 - 30/sept/2022)</t>
  </si>
  <si>
    <t xml:space="preserve">AICI202116-5</t>
  </si>
  <si>
    <t xml:space="preserve">No conformidad No. 5. Algunos de los instructivos correspondientes a la ejecución de actividades de las RIAS se encuentran desactualizados en su marco normativo y contenidos acorde a la normatividad vigente por lo cual deben ser revisados y ajustados en los casos en los que se considere oportuno.</t>
  </si>
  <si>
    <t xml:space="preserve">No se cuenta con la actualizacion de los Instructivos correspondientes a la ejecución de actividades de las RIAS</t>
  </si>
  <si>
    <t xml:space="preserve">AICI202116-5-1</t>
  </si>
  <si>
    <t xml:space="preserve">AICI202116-5-1| Actualizar los Instructivos correspondientes a la ejecución de actividades de Todas RIAS según normatividad vigente (10/feb/2022 - 31/may/2022)</t>
  </si>
  <si>
    <t xml:space="preserve">AICI202116-6</t>
  </si>
  <si>
    <t xml:space="preserve">No conformidad No. 6. Los documentos institucionales que formalizan las actividades relativas a las RIAS no incluyen aspectos claves del manejo de las bases de datos de población georreferenciada y su entrega actualizada a las diferentes unidades de atención de la Subred, como base para facilitar la adecuada gestión de las RIAS. Se encontró falta de estandarización en el manejo y entrega de bases de datos y falta de actualización de muchas de ellas.</t>
  </si>
  <si>
    <t xml:space="preserve">No se encuentra documentado el proceso de gestion la población asignada a cada unidad de atencion</t>
  </si>
  <si>
    <t xml:space="preserve">DIRECCION DE AMBULATORIOSDIRECCION GESTION DEL RIESGO</t>
  </si>
  <si>
    <t xml:space="preserve">AICI202116-6-1</t>
  </si>
  <si>
    <t xml:space="preserve">AICI202116-6-1| Actualizar los documentos de RIAS incluyendo manejo de bases de datos, entrega actualizada de estas a las unidades de atención (01/mar/2022 - 30/jun/2022)</t>
  </si>
  <si>
    <t xml:space="preserve">AICI202116-6-2</t>
  </si>
  <si>
    <t xml:space="preserve">AICI202116-6-2| Socializar los documentos de RIAS, mencionados en la acción anterior al 95% de cada uno de los referentes de las unidades y de los técnicos y … (01/mar/2022 - 30/jun/2022)</t>
  </si>
  <si>
    <t xml:space="preserve">AICI202116-7</t>
  </si>
  <si>
    <t xml:space="preserve">No conformidad No. 7. La gestión de bases de datos de población relativa a las RIAS, demanda inducida derivada de esta, asignación de citas, seguimiento de usuarios inscritos entre otras actividades propias de las Rutas, no se está realizando de manera estandarizada y continua por parte de las auxiliares de enfermería de las unidades de atención. Esta situación se encuentra asociada a la falta de tiempo del personal, derivada del volumen de trabajo asignado.</t>
  </si>
  <si>
    <t xml:space="preserve">No se cuenta con definicion de talento humano en la USS requerido para el seguimiento de la poblacion a las RIASNo se encuentra estandarizado el proceso de seguimiento de la poblacion de las RIAS.</t>
  </si>
  <si>
    <t xml:space="preserve">DIRECCION DE AMBULATORIOSDIRECCION GESTION DEL RIESGODIRECCION DE URGENCIASDIRECCION DE HOSPITALIZACIONDIRECCION DE SERVICIOS COMPLEMENTARIOSSUBGERENCIA DE SERVICIOS ASISTENCIALESSUBGERENCIA CORPORATIVA</t>
  </si>
  <si>
    <t xml:space="preserve">AICI202116-7-1</t>
  </si>
  <si>
    <t xml:space="preserve">AICI202116-7-1| Definir el talento humano en la USS requerido para el seguimiento de la poblacion de todas las RIAS (11/feb/2022 - 31/dic/2022)</t>
  </si>
  <si>
    <t xml:space="preserve">AICI202116-7-2</t>
  </si>
  <si>
    <t xml:space="preserve">AICI202116-7-2| Hacer Seguimiento de la asignación/contratación del personal requerido para el funcionamiento de las RIAS desde cada una de las Direcciones que … (11/feb/2022 - 31/dic/2022)</t>
  </si>
  <si>
    <t xml:space="preserve">AICI202116-8</t>
  </si>
  <si>
    <t xml:space="preserve">No conformidad No. 8. La captación de usuarios y la demanda inducida hacia las Rutas de atención no se está realizando conforme a lo estipulado en los documentos institucionales relacionados con la implementación de las RIAS</t>
  </si>
  <si>
    <t xml:space="preserve">No se encuentra estandarizado el proceso de seguimiento de la poblacion de las RIAS.</t>
  </si>
  <si>
    <t xml:space="preserve">DIRECCION DE AMBULATORIOSDIRECCION GESTION DEL RIESGODIRECCION DE URGENCIASDIRECCION DE HOSPITALIZACIONDIRECCION DE SERVICIOS COMPLEMENTARIOS</t>
  </si>
  <si>
    <t xml:space="preserve">AICI202116-8-1</t>
  </si>
  <si>
    <t xml:space="preserve">AICI202116-8-1| Socializar al 80% con una meta de 400 colaboradores involucrados en la implementacion del proceso de captacion y demanda inducida de los usuarios … (01/mar/2022 - 30/sept/2022)</t>
  </si>
  <si>
    <t xml:space="preserve">AICI202116-9</t>
  </si>
  <si>
    <t xml:space="preserve">No conformidad No. 9. El manejo de información relativo a la gestión de bases de datos de población objeto para la RPMS no se encuentra estandarizado, no se evidencian formalizados puntos de control en el mismo, ni mecanismos de verificación y validación de la información. (corregir la no conformidad 9 es de las RIAS)</t>
  </si>
  <si>
    <t xml:space="preserve">No se encuentra documentado el proceso de gestion de la informacion del procedimiento de Rutas Integrales de Atencion en Salud</t>
  </si>
  <si>
    <t xml:space="preserve">DIRECCION GESTION DEL RIESGO</t>
  </si>
  <si>
    <t xml:space="preserve">AICI202116-9-1</t>
  </si>
  <si>
    <t xml:space="preserve">AICI202116-9-1| Elaborar documento de gestion de la informacion de RIAS que incluya la estandarización de la gestión de las bases de datos de RIAS, sus puntos… (01/mar/2022 - 30/sept/2022)</t>
  </si>
  <si>
    <t xml:space="preserve">AICI202116-9-2</t>
  </si>
  <si>
    <t xml:space="preserve">AICI202116-9-2| Socializar los documentos de RIAS, mencionados en la acción anterior al 95% de cada uno de los referentes de las unidades con una meta de 100 … (01/mar/2022 - 30/sept/2022)</t>
  </si>
  <si>
    <t xml:space="preserve">AICI202116-10</t>
  </si>
  <si>
    <t xml:space="preserve">No conformidad No. 10. No se evidencian parámetros de comunicación formalizados para estandarizar el flujo de información al interior y al exterior de las RIAS.</t>
  </si>
  <si>
    <t xml:space="preserve">Desconocimiento de la Linea de mando y flujo de comunicación de las rutas integrales de atencion en salud al interior y exterior de las RIAS</t>
  </si>
  <si>
    <t xml:space="preserve">AICI202116-10-1</t>
  </si>
  <si>
    <t xml:space="preserve">AICI202116-10-1| Socializar al 80% con una meta de 100 colaboradores que operativiza las Rutas,la Linea de mando y flujo de comunicación de las rutas integrales … (01/mar/2022 - 31/may/2022)</t>
  </si>
  <si>
    <t xml:space="preserve">AICI202116-11</t>
  </si>
  <si>
    <t xml:space="preserve">No conformidad No. 11. El personal asignado institucionalmente en la estructura básica de la RPMS de la Dirección de Gestión de Riesgo en Salud resulta insuficiente para cubrir el volumen de actividades establecido para la gestión de la Ruta, esto deriva en falta de continuidad del personal y carencia de algunos perfiles claves en el proceso para realizar actividades como por ejemplo, las actividades relativas al manejo de bases de datos, las capacitaciones, la asistencia técnica, la demanda inducida, entre otras</t>
  </si>
  <si>
    <t xml:space="preserve">Ausencia de la definicion en la capacidad instalada en los procedimiento de la ruta PYM</t>
  </si>
  <si>
    <t xml:space="preserve">AICI202116-11-1</t>
  </si>
  <si>
    <t xml:space="preserve">AICI202116-11-1| Definir el procedimiento de la RPYMS la capacidad instalada para la operación (estructura tactica y operativa) (01/mar/2022 - 30/nov/2022)</t>
  </si>
  <si>
    <t xml:space="preserve">AICI202116-12</t>
  </si>
  <si>
    <t xml:space="preserve">No conformidad No. 12. No se evidenció un trabajo articulado entre las 2 direcciones para definir la capacidad instalada de personal ambulatorio requerido de manera institucional para la atención de la ruta.</t>
  </si>
  <si>
    <t xml:space="preserve">Ausencia deun trabajo institucional coordinado para la definicion en la capcidad instalada de los procedimientos de la Ruta de PYM</t>
  </si>
  <si>
    <t xml:space="preserve">AICI202116-12-1</t>
  </si>
  <si>
    <t xml:space="preserve">AICI202116-12-1| Actualizar los documentos de la Ruta PYM, adicionando item de: Definir la capacidad instalada y talento humano de manera coordinada entre las … (01/mar/2022 - 30/nov/2022)</t>
  </si>
  <si>
    <t xml:space="preserve">AICI202116-13</t>
  </si>
  <si>
    <t xml:space="preserve">No conformidad No. 13. Las actividades de la RPMS no se ejecutan de acuerdo con lo programado, se efectúan como resultado de un lineamiento de atención de P y D, al final de la ejecución se filtra el total de lo facturado de P y D en ambulatorio, para reportarlo como actividades finales de la RPMS. Luego no hay una planeación verdaderamente proyectada de actividades de la RPMS, con miras a conseguir un resultado que apunte a los objetivos institucionales establecidos</t>
  </si>
  <si>
    <t xml:space="preserve">No se realizo una adecuada planeacion de las actividades de la RPYM conforme a las coberturas esperadas por curso de vida de acuerdo a la poblacion asignada</t>
  </si>
  <si>
    <t xml:space="preserve">AICI202116-13-1</t>
  </si>
  <si>
    <t xml:space="preserve">AICI202116-13-1| Desarrolllar mesas de analisis periodicas con 6 mesas para desplegar a las Unidades de atencion en salud, el mecanismo definido para el seguimiento … (11/mar/2022 - 30/dic/2022)</t>
  </si>
  <si>
    <t xml:space="preserve">AICI202116-14</t>
  </si>
  <si>
    <t xml:space="preserve">No conformidad No. 14. En lo referente a la existencia de procedimientos documentados y su implementación para las actividades de la RPMS como mecanismo de control se evidenció, que hay actividades que no se encuentran documentadas como el manejo de las bases de datos, su entrega a las unidades, mecanismos de agendamiento de citas de P y D entre otros. De igual manera se observó que las actividades de la ruta no se están realizando de acuerdo con lo documentado y que los instructivos deben ser revisados en sus contenidos, para estandarizar las acciones, divulgarlas a los responsables y garantizar así la existencia de directrices claras de operación.</t>
  </si>
  <si>
    <t xml:space="preserve">No se cuenta con la actualizacion de los procesos y procedimientos para el manejo de las bases de datos, su entrega a las unidades, mecanismos de agendamiento de citas de P y D entre otros de la direccion</t>
  </si>
  <si>
    <t xml:space="preserve">AICI202116-14-1</t>
  </si>
  <si>
    <t xml:space="preserve">AICI202116-14-1| Actualizar documentos de RIA PYMS incluyendo manejo de bases de datos, entrega actualizada de estas a las unidades de atención, Mecanismos de … (01/mar/2022 - 30/jun/2022)</t>
  </si>
  <si>
    <t xml:space="preserve">AICI202116-14-2</t>
  </si>
  <si>
    <t xml:space="preserve">AICI202116-14-2| Socializar al 95% del personal de las unidades que operativizan el proceso la adscripcion a la unidad y a las RIAS de la poblacion asignada: 10 … (01/mar/2022 - 30/jun/2022)</t>
  </si>
  <si>
    <t xml:space="preserve">AICI202116-15</t>
  </si>
  <si>
    <t xml:space="preserve">No conformidad No. 15. No se está realizando un control adecuado de la ejecución de actividades de la RPMS y esto está originando presuntamente una pérdida de recursos económicos que no se pueden cobrar a Capital Salud, pérdida del tiempo/costo de los profesionales, materiales e insumos y además se están desaprovechando cupos de agenda que podrían ser utilizados con otros pacientes. Es necesario evaluar este tema para identificar las causas y tomar los correctivos que sean necesarios.</t>
  </si>
  <si>
    <t xml:space="preserve">Desconocimiento de la Resolucion 3280 y de los contratos suscritos por la Subred por parte de los equipos que operativizan la ruta de pym en las USSAusencia de control en el sistema de informacion que alerten sobre el historio de atencion del usuario en la Ruta de PYM</t>
  </si>
  <si>
    <t xml:space="preserve">DIRECCION DE GESTION DEL RIESGODIRECCION DE AMBULATORIOSDIRECCION FINANCIERA JEFE DE OFICINA SITEMAS DESRROLLO INTITUCIONAL</t>
  </si>
  <si>
    <t xml:space="preserve">AICI202116-15-1</t>
  </si>
  <si>
    <t xml:space="preserve">AICI202116-15-1| Capacitar al 100% del personal de agendamiento,50 colaboradores entre facturacion y auxiliares de enfermeria de la Ruta de PYM sobre la … (01/mar/2022 - 30/dic/2022)</t>
  </si>
  <si>
    <t xml:space="preserve">AICI202116-15-2</t>
  </si>
  <si>
    <t xml:space="preserve">AICI202116-15-2| Desarrollar conjuntamente con el área de sistemas un mecanismo de control, que permita alertar sobre las frecuencias de uso de las atenciones de … (01/mar/2022 - 30/dic/2022)</t>
  </si>
  <si>
    <t xml:space="preserve">AICI202116-16</t>
  </si>
  <si>
    <t xml:space="preserve">No conformidad No. 16. Se evidenciaron dificultades para el desarrollo adecuado de las actividades realizadas por losprofesionales/técnicos de la RPMS relacionadas con el funcionamiento del sistema de historias clínicas, la asignación detiempo suficiente para la realización de actividades, las deficiencias de insumos y dispositivos, temas de facturación y otros referidos en el cuadro “PRINCIPALESDIFICULTADES REFERIDAS POR EL PERSONAL AMBULATORIO QUE REALIZA ATENCIÓN DE P Y D”, las cuales deben ser debidamente analizadas y gestionadas con las áreas correspondientes a fin de lograr el adecuado desarrollo de las actividades de la RPMS.</t>
  </si>
  <si>
    <t xml:space="preserve">Debilidad en la articulacion de las areas que participan en el proceso de solicitud y entrega de insumos, bienes y servicios para las USS</t>
  </si>
  <si>
    <t xml:space="preserve">FACTURACIONATENCION AL CIUDADANOSUBGERENCIA CORPORATIVA DIRECCION GESTION DEL RIESGODIRECCION DE AMBULATORIOS</t>
  </si>
  <si>
    <t xml:space="preserve">AICI202116-16-1</t>
  </si>
  <si>
    <t xml:space="preserve">AICI202116-16-1| Desarrollar Mesas minimo 2 mesas de trabajo de coordinacion con el fin de dar lectura a los hallazgos de la auditoria de control interno y … (01/mar/2022 - 30/dic/2022)</t>
  </si>
  <si>
    <t xml:space="preserve">AICI202116-17</t>
  </si>
  <si>
    <t xml:space="preserve">No conformidad No. 17. Se reportaron falencias de algunos equipos e insumos requeridos para la realización de actividades de P y D y el desarrollo de la RPMS referidos en el cuadro FALENCIAS DE EQUIPOS O INSUMOS PARA LA REALIZACIÓN DE CONSULTA DE P y D, esto evidencia falta de aplicación de los controles existentes en la institución para garantizar la existencia de los equipos e insumos y la prestación de los servicios de P y D de acuerdo con la normatividad vigente</t>
  </si>
  <si>
    <t xml:space="preserve">Debilidad en la planeacion de las necesidades de insumos y equipos</t>
  </si>
  <si>
    <t xml:space="preserve">DIRECCION DE GESTION DEL RIESGODIRECCION DE AMBULATORIOSDIRECCION DE COMPLEMENTARIOSDIRECCION ADMINISTRATIVA</t>
  </si>
  <si>
    <t xml:space="preserve">AICI202116-17-1</t>
  </si>
  <si>
    <t xml:space="preserve">AICI202116-17-1| Desarrollar mesas de trabajo minimo 4 mesas para realizar seguimiento a la disponibilidad de medicamentos requeridos para el desarrollo de las … (01/mar/2022 - 30/dic/2022)</t>
  </si>
  <si>
    <t xml:space="preserve">AICI202116-18</t>
  </si>
  <si>
    <t xml:space="preserve">No conformidad No. 18. No se evidencia el trabajo coordinado interinstitucional de mecanismos de control que propendan por el análisis y seguimiento a la ejecución de las actividades de la RPMS.</t>
  </si>
  <si>
    <t xml:space="preserve">No se tiene documentado de proceso de articulacion entre los procesos</t>
  </si>
  <si>
    <t xml:space="preserve">DIRECCION DE AMBULATORIOSDIRECCION GESTION DEL RIESGODIRECCION DE URGENCIASDIRECCION DE HOSPITALIZACIONDIRECCION DE SERVICIOS COMPLEMENTARIOSSUBGERENCIA DE SERVICIOS ASISTENCIALESSUBGERENCIA CORPORATIVAMERCADEOFACTURACION</t>
  </si>
  <si>
    <t xml:space="preserve">AICI202116-18-1</t>
  </si>
  <si>
    <t xml:space="preserve">AICI202116-18-1| Realizar mesas de coordinacion interinstitucional cada dos meses con el fin de evaluar los resultados obtenidos en la implementacion de la Ruta de … (01/mar/2022 - 31/dic/2022)</t>
  </si>
  <si>
    <t xml:space="preserve">AICI202116-19</t>
  </si>
  <si>
    <t xml:space="preserve">No conformidad No. 19. El manejo de información relativo a la gestión de bases de datos de población objeto para la RPMS no se encuentra estandarizado, no se evidencian formalizados puntos de control en el mismo, ni mecanismos de verificación y validación de la información.</t>
  </si>
  <si>
    <t xml:space="preserve">AICI202116-19-1</t>
  </si>
  <si>
    <t xml:space="preserve">AICI202116-19-1| Actualizar documentos de RIA PYM incluyendo manejo de bases de datos, entrega actualizada de estas a las unidades de atención, puntos de control … (01/mar/2022 - 31/dic/2022)</t>
  </si>
  <si>
    <t xml:space="preserve">AICI202116-19-2</t>
  </si>
  <si>
    <t xml:space="preserve">AICI202116-19-2| Socializar a cada uno de los referentes y colaboradores de las unidades,(100 colaboradores) que operativizan el proceso, la adscripcion a la … (01/mar/2022 - 31/dic/2022)</t>
  </si>
  <si>
    <t xml:space="preserve">AICI202116-20</t>
  </si>
  <si>
    <t xml:space="preserve">No conformidad No. 20. Se evidenciaron problemas relacionados con la operación e interrelación de otros sistemas de información asociados al desarrollo de actividades y procesamiento de información de las actividades de la RPMS, esta situación tiene impacto importante en los tiempos de operación, la identificación de información clave para el proceso, temas de producción, facturación entre otros .</t>
  </si>
  <si>
    <t xml:space="preserve">No se cuenta con lectura de necesidades de informacion propio de la RPYMS</t>
  </si>
  <si>
    <t xml:space="preserve">DIRECCION DE GESTION DEL RIESGOJEFE SISTEMAS TICFACTURACION</t>
  </si>
  <si>
    <t xml:space="preserve">AICI202116-20-1</t>
  </si>
  <si>
    <t xml:space="preserve">AICI202116-20-1| Realizar mesa de trabajo con articulacion en el area de sistemas de informacion TIC., para realizar lectura de necesidades de informacion de la RPY … (01/mar/2022 - 31/dic/2022)</t>
  </si>
  <si>
    <t xml:space="preserve">AICI202116-20-2</t>
  </si>
  <si>
    <t xml:space="preserve">AICI202116-20-2| Realizar plan de trabajo para fortalecer el tema de sistemas de información relacionado con el desarrollo de la RPYMS (01/mar/2022 - 31/dic/2022)</t>
  </si>
  <si>
    <t xml:space="preserve">AICI202116-21</t>
  </si>
  <si>
    <t xml:space="preserve">No conformidad No. 21. Se evidencia un riesgo importante en el manejo y custodia de la información perteneciente a la RPMS, ya que la información es almacenada en un computador portátil y un disco duro no institucional, no se tienen estandarizados mecanismos de backup y no se realizan controles al tema.</t>
  </si>
  <si>
    <t xml:space="preserve">1. Desconocimiento en la implememtacion del procedimiento de gestion doumental2. Falencias en la solicitud de las necesidades de equipos tecnologicos y mecanismos de backup para la ruta de PYM</t>
  </si>
  <si>
    <t xml:space="preserve">DIRECCION DE GESTION DEL RIESGOJEFE SISTEMAS TIC</t>
  </si>
  <si>
    <t xml:space="preserve">AICI202116-21-1</t>
  </si>
  <si>
    <t xml:space="preserve">AICI202116-21-1| Socializar el procedimiento de gestion documental de la subrednorte sobre el manejo de la informacion y su custodia a los 10 referentes de las … (18/ene/2022 - 28/may/2022)</t>
  </si>
  <si>
    <t xml:space="preserve">AICI202116-21-2</t>
  </si>
  <si>
    <t xml:space="preserve">AICI202116-21-2| Definir e implementar el procedimiento de backup de la informacion de la RPMS y realizar la solicitud de equipos tecnologicos requeridos al area … (18/ene/2022 - 28/may/2022)</t>
  </si>
  <si>
    <t xml:space="preserve">AICI202116-22</t>
  </si>
  <si>
    <t xml:space="preserve">No conformidad No. 22. No se evidencia un proceso de auditoría interna regular y estandarizado de la RPMS que permita evaluar y retroalimentar sobre los hallazgos a los actores involucrados</t>
  </si>
  <si>
    <t xml:space="preserve">No se tenia conocimiento del Plan de auditoria de las RIAS en especifico lo relacionado con la PYMS</t>
  </si>
  <si>
    <t xml:space="preserve">AICI202116-22-1</t>
  </si>
  <si>
    <t xml:space="preserve">AICI202116-22-1| Socializarel plan de auditoria de las RIAS a los equipos operarivos y dinamizador de la RPYMS (01/mar/2022 - 31/dic/2022)</t>
  </si>
  <si>
    <t xml:space="preserve">AICI202116-22-2</t>
  </si>
  <si>
    <t xml:space="preserve">AICI202116-22-2| Implementar el plan de auditoria de las RIAS en equipos operarivos y dinamizador de la RPYMS (01/mar/2022 - 31/dic/2022)</t>
  </si>
  <si>
    <t xml:space="preserve">AICI202117</t>
  </si>
  <si>
    <t xml:space="preserve">Proceso de recaudo</t>
  </si>
  <si>
    <t xml:space="preserve">AICI202117-1</t>
  </si>
  <si>
    <t xml:space="preserve">No hay uniformidad en la determinación de la fuente de información que establezca una base única para el análisis de los resultados. Se presentan diferencias entre el valor del seguimiento al POA y los informes financieros</t>
  </si>
  <si>
    <t xml:space="preserve">No se cuenta con conciliacion de los valores reportados en ingresos</t>
  </si>
  <si>
    <t xml:space="preserve">TESORERIA, CARTERA, FACTURACION , PRESUPUESTO</t>
  </si>
  <si>
    <t xml:space="preserve">AICI202117-1-1</t>
  </si>
  <si>
    <t xml:space="preserve">AICI202117-1-1| NA1 - realizar la conciliación mensual con el area de cartera y CERTIFICACIÓN de ingresos en conjunto con cartera y fuente de ... (19/abr/2022 - 30/abr/2022)</t>
  </si>
  <si>
    <t xml:space="preserve">AICI202117-2</t>
  </si>
  <si>
    <t xml:space="preserve">Seguimiento a las acciones planteadas en el mapa de riesgos. No se evidencia cumplimiento de los controles establecidos como medida de mitigación del riesgo</t>
  </si>
  <si>
    <t xml:space="preserve">Los auxiliares de facturacion que ingresan nuevos a la Subred Norte ESE no cuentan con capacitacion en el modulo de Tesoreria</t>
  </si>
  <si>
    <t xml:space="preserve">TESORERIA</t>
  </si>
  <si>
    <t xml:space="preserve">AICI202117-2-1</t>
  </si>
  <si>
    <t xml:space="preserve">AICI202117-2-1| NA - actas de capacitación como soporte a la elaboración de esta actividad (01/ene/2022 - 30/jun/2022)</t>
  </si>
  <si>
    <t xml:space="preserve">AICI202117-3</t>
  </si>
  <si>
    <t xml:space="preserve">El Instructivo de Recaudo con el CÓDIGO: AP-GF-I-07-01 no lo establece, sin embargo, los facturadores tienen la instrucción de registrar en el libro, los valores ingresados y depositados INFORME FINAL AUDITORIAS DE CONTROL INTERNO CÓDIGO: EV-EG-F-03-01 VERSIÓN :1 SUBRED INTEGRADA DE SERVICIOS DE SALUD NORTE E.S.E EVALUACIÓN DE GESTIÓN PÁGINA : 16 DE 16 FECHA : 03/05/2021 en caja fuerte al finalizar cada turno, lo cual no se viene cumpliendo de manera oportuna, situación que conlleva riesgos en el control del dinero generando poca fiabilidad al proceso.</t>
  </si>
  <si>
    <t xml:space="preserve">No hay control por parte de los referentes de facturacion de cada unidad ya que si bien es responsabilidad de cada facturador el adecuado diligenciamiento no se les exige como requisito en la entrega de cada turno</t>
  </si>
  <si>
    <t xml:space="preserve">AICI202117-3-1</t>
  </si>
  <si>
    <t xml:space="preserve">AICI202117-3-1| Revisar con los referentes de facturación de cada unidad y junto con la jefe de facturación y la dirección financiera la viabilidad ... (01/may/2022 - 30/jun/2022)</t>
  </si>
  <si>
    <t xml:space="preserve">AICI202117-4</t>
  </si>
  <si>
    <t xml:space="preserve">El libro de registro de recepción de sobres a la caja fuerte presenta mutilación (folios arrancados), tachones y enmendaduras, situación que genera falta de confianza al proceso.</t>
  </si>
  <si>
    <t xml:space="preserve">AICI202117-4-1</t>
  </si>
  <si>
    <t xml:space="preserve">AICI202117-4-1| Revisar con los referentes de facturación de cada unidad y junto con la jefe de facturación y la dirección financiera la viabilidad ... (01/may/2022 - 30/jun/2022)</t>
  </si>
  <si>
    <t xml:space="preserve">AICI202117-5</t>
  </si>
  <si>
    <t xml:space="preserve">Diferencias entre los diferentes reportes reflejan la falta de integralidad y conciliación entre la información de financiera y la reportada por Tesorería</t>
  </si>
  <si>
    <t xml:space="preserve">AICI202117-5-1</t>
  </si>
  <si>
    <t xml:space="preserve">AICI202117-5-1| NA2 - realizar la conciliación mensual con el area de cartera y CERTIFICACIÓN de ingresos en conjunto con cartera y fuente de ... (19/abr/2022 - 30/abr/2022)</t>
  </si>
  <si>
    <t xml:space="preserve">AICI202117-6</t>
  </si>
  <si>
    <t xml:space="preserve">No se evidencia seguimiento y control con relación a las diferencias entre los valores registrados en la ejecución presupuestal de ingresos como valores de facturación causada y radicada y los valores registrados como recaudados por los mismos conceptos.</t>
  </si>
  <si>
    <t xml:space="preserve">AICI202117-6-1</t>
  </si>
  <si>
    <t xml:space="preserve">AICI202117-6-1| NA3 - realizar la conciliación mensual con el area de cartera y CERTIFICACIÓN de ingresos en conjunto con cartera y fuente de ... (19/abr/2022 - 30/abr/2022)</t>
  </si>
  <si>
    <t xml:space="preserve">AICI202117-7</t>
  </si>
  <si>
    <t xml:space="preserve">Los facturadores no cuentan con espacio seguro para guardar el dinero que van recibiendo en cada turno. Igualmente se observó que no se les hace entrega de base</t>
  </si>
  <si>
    <t xml:space="preserve">Cajillas de seguridad las cuales en algunos casos estan dañadas y no se habian reportado, no se habia presentado algun inconveniente relacionado con la falta de bases de caja por lo cual  no estan implementadas para ningna de las unidades.</t>
  </si>
  <si>
    <t xml:space="preserve">AICI202117-7-1</t>
  </si>
  <si>
    <t xml:space="preserve">AICI202117-7-1| Realizar un inventario de las cajillas de seguridad para solicitar cambio de las que están dañadas y para solicitar nuevas en ... (01/may/2022 - 30/jun/2022)</t>
  </si>
  <si>
    <t xml:space="preserve">AICI202117-7-2</t>
  </si>
  <si>
    <t xml:space="preserve">AICI202117-7-2| Analizar en mesa de trabajo con la dirección financiera la viabilidad y la utilidad de establecer bases de caja para cada punto ... (01/may/2022 - 30/jun/2022)</t>
  </si>
  <si>
    <t xml:space="preserve">AICI202117-8</t>
  </si>
  <si>
    <t xml:space="preserve">No se tiene control de los números de pagarés, se desconoce el estado de los pagarés no reportados.</t>
  </si>
  <si>
    <t xml:space="preserve">El no contar con la conciliación de uso de consecutivo de pagarés genera riesgo de anulación o susticución de pagarés ya sea por incorrecto diligenciamiento o por la no entrega del mismo.</t>
  </si>
  <si>
    <t xml:space="preserve">FATURACION - CARTERA</t>
  </si>
  <si>
    <t xml:space="preserve">AICI202117-8-1</t>
  </si>
  <si>
    <t xml:space="preserve">AICI202117-8-1| Implementar conciliación de manera mensual con las unidades con el fin de validar los consecutivos utilizados y entregados para ... (01/jun/2022 - 30/jun/2022)</t>
  </si>
  <si>
    <t xml:space="preserve">AICI202117-9</t>
  </si>
  <si>
    <t xml:space="preserve">La serialización de los pagarés no guarda relación con las fechas de expedición.</t>
  </si>
  <si>
    <t xml:space="preserve">El contar con el mismo consecutivo para la subred, indistintamente la unidad  genera diferencia en fechas, lo cual dificulta el control de uso de consecutivos y la homogeneidad en la validación en cuanto a fecha de emisión  .</t>
  </si>
  <si>
    <t xml:space="preserve">AICI202117-9-1</t>
  </si>
  <si>
    <t xml:space="preserve">AICI202117-9-1| Implementar con prefijo por unidad y su respectivo consecutivo  para las unidades principales, de tal forma que facilite el control ... (01/jun/2022 - 30/jun/2022)</t>
  </si>
  <si>
    <t xml:space="preserve">AICI202117-10</t>
  </si>
  <si>
    <t xml:space="preserve">La información registrada de pagarés no guarda relación entre lo reportado por facturación y lo registrado en cartera.</t>
  </si>
  <si>
    <t xml:space="preserve">Rotación del personal de facturación en las diferentes unidades y falta de capacitación en el manejo del proceso</t>
  </si>
  <si>
    <t xml:space="preserve">AICI202117-10-1</t>
  </si>
  <si>
    <t xml:space="preserve">AICI202117-10-1| Realizar mensualmente conciliación de pagarés entre el Facturación y Cartera (01/abr/2022 - 30/jun/2022)</t>
  </si>
  <si>
    <t xml:space="preserve">AICI202117-11</t>
  </si>
  <si>
    <t xml:space="preserve">Incumplimiento de la meta de recaudo de pagarés para 2021.</t>
  </si>
  <si>
    <t xml:space="preserve">El saldo de cartera posee una participación importante con baja rotación, donde el 90% del resultado de los cobros pre-juridicos son devueltos, por no ubicación del deudor, explicado por la movilidad de la población, generando una variable que argumenta la depuración de dichas partidas</t>
  </si>
  <si>
    <t xml:space="preserve">AICI202117-11-1</t>
  </si>
  <si>
    <t xml:space="preserve">AICI202117-11-1| Continuar con la circularización de la cartera de particulares  acorde al Manual de gestión de Ingresos. (01/abr/2022 - 30/abr/2022)</t>
  </si>
  <si>
    <t xml:space="preserve">AICI202117-11-2</t>
  </si>
  <si>
    <t xml:space="preserve">AICI202117-11-2| Continuar con el proceso de aviso en las sedes y en la página para garantizar a plenitud el cobro. (01/abr/2022 - 30/abr/2022)</t>
  </si>
  <si>
    <t xml:space="preserve">AICI202117-12</t>
  </si>
  <si>
    <t xml:space="preserve">No se cuenta con directriz, procedimiento, instructivo y/o formato formalizado en control documental, que establezca el manejo, control y recuperación de los valores facturados y representados en los pagarés.</t>
  </si>
  <si>
    <t xml:space="preserve">No se cuenta con directriz, procedimiento, instructivo y/o formato formalizado en control documental</t>
  </si>
  <si>
    <t xml:space="preserve">AICI202117-12-1</t>
  </si>
  <si>
    <t xml:space="preserve">AICI202117-12-1| Normalizar los instructivos (01/abr/2022 - 30/abr/2022)</t>
  </si>
  <si>
    <t xml:space="preserve">AICI202204</t>
  </si>
  <si>
    <t xml:space="preserve">Gestión de seguros</t>
  </si>
  <si>
    <t xml:space="preserve">AICI202204-1</t>
  </si>
  <si>
    <t xml:space="preserve">Debilidad en el diseño del control aplicado a los riesgos identificados en el proceso de Gestión  Administrativa.</t>
  </si>
  <si>
    <t xml:space="preserve">Falta de  capacitación  por parte de la Entidad  en materia de riesgos a las personas que participan en el proceso de  construcción del mapa de riesgos en el proceso de Gestión Contractual</t>
  </si>
  <si>
    <t xml:space="preserve">Lider de Activos fijos
Profesional de Activos fijos
</t>
  </si>
  <si>
    <t xml:space="preserve">AICI202204-1-1</t>
  </si>
  <si>
    <t xml:space="preserve">AICI202204-1-1| Solicitar capacitación para la construcción de riesgos para el proceso de seguros (01/09/2022 - 30/06/2023)</t>
  </si>
  <si>
    <t xml:space="preserve">AICI202204-2</t>
  </si>
  <si>
    <t xml:space="preserve">Debilidad  en el proceso de legalización de convenios, contratos de comodato, donación de bienes, cesión a título gratuito  de bienes  o elementos para la prestación de los Servicios de salud,  que realizan diferentes Entidades o Empresas a la  Subred Integrada de Servicios de Salud Norte, lo que origina que los bienes recibidos no se incluyan oportunamente en las pólizas de seguro que amparan los bienes de la entidad.</t>
  </si>
  <si>
    <t xml:space="preserve">falta de legalizacion de los elementos  entregados por parte de la Secretaria Distrital de Salud,  para su inclusion en  la póliza de seguros de la Subred Norte.</t>
  </si>
  <si>
    <t xml:space="preserve">AICI202204-2-1</t>
  </si>
  <si>
    <t xml:space="preserve">AICI202204-2-1| Reportar a la aseguradora el ingreso de elementos para su inclusión en la póliza, y solicitar a almacén los soportes de legalización de los mismos. (01/09/2022 - 30/12/2023)</t>
  </si>
  <si>
    <t xml:space="preserve">N</t>
  </si>
  <si>
    <t xml:space="preserve">AICI202204-3</t>
  </si>
  <si>
    <t xml:space="preserve">Inadecuado  seguimiento  y  monitoreo de parte del Supervisor del contrato, al cumplimiento de la totalidad de las obligaciones del contratista-Corredor de Seguros, Incumpliendo el manual de supervisión.</t>
  </si>
  <si>
    <t xml:space="preserve">falta de seguimiento y verificacion al cumplimiento de las obligaciones específicas, del contratista  y  Carencia de lista de chequeo para su verificacion.</t>
  </si>
  <si>
    <t xml:space="preserve">AICI202204-3-1</t>
  </si>
  <si>
    <t xml:space="preserve">AICI202204-3-1| Realizar verificación del cumplimiento de las obligaciones del contratista corredor de seguros mediante formato de certificación. (01/09/2022 - 28/02/2023)</t>
  </si>
  <si>
    <t xml:space="preserve">AICI202205</t>
  </si>
  <si>
    <t xml:space="preserve">Gestión Ambulatoria</t>
  </si>
  <si>
    <t xml:space="preserve">2.1. Servicios Ambulatorios</t>
  </si>
  <si>
    <t xml:space="preserve">AICI202205-1</t>
  </si>
  <si>
    <t xml:space="preserve">No hay coincidencia en la totalidad de los servicios reportados según el portafolio de servicios ambulatorios de la Subred, la capacidad instalada, el REPS y los servicios prestados, lo que genera incumplimiento en la Resolución 3100 de 2019 articulo 9.1 Inscripción del prestador de servicios de salud.</t>
  </si>
  <si>
    <t xml:space="preserve">No se está llevando un estricto control institucional de los servicios realmente ofertados en portafolio, habilitados y prestados</t>
  </si>
  <si>
    <t xml:space="preserve">Directora de Ambulatorios Referentes Sedes</t>
  </si>
  <si>
    <t xml:space="preserve">AICI202205-1-1</t>
  </si>
  <si>
    <t xml:space="preserve">AICI202205-1-1| Diseñar herramienta para identificación de servicios de la Dirección ambulatoria por unidad de servicios de salud. (18/08/2022 - 01/10/2022)</t>
  </si>
  <si>
    <t xml:space="preserve">Directora de Ambulatorios 
Referentes Sedes</t>
  </si>
  <si>
    <t xml:space="preserve">AICI202205-1-2</t>
  </si>
  <si>
    <t xml:space="preserve">AICI202205-1-2| Aplicar la herramienta diseñada para cada unidad de servicios de salud que oferte servicios ambulatorios … (28/08/2022 - 01/10/2022)</t>
  </si>
  <si>
    <t xml:space="preserve">Directora de Ambulatorios
Referentes Sedes 
Jefe Oficina de Calidad</t>
  </si>
  <si>
    <t xml:space="preserve">AICI202205-1-3</t>
  </si>
  <si>
    <t xml:space="preserve">AICI202205-1-3| Cruzar la información obtenida en la herramienta con lo registrado en el REPS para identificar … (01/09/2022 - 01/10/2022)</t>
  </si>
  <si>
    <t xml:space="preserve">Directora de Ambulatorios 
Referentes Sedes 
Jefe Oficina de Calidad</t>
  </si>
  <si>
    <t xml:space="preserve">AICI202205-1-4</t>
  </si>
  <si>
    <t xml:space="preserve">AICI202205-1-4| Radicar en la oficina de Calidad las novedades a realizar en el REPS (12/09/2022 - 19/12/2022)</t>
  </si>
  <si>
    <t xml:space="preserve">Directora de Ambulatorios
Referentes Sedes</t>
  </si>
  <si>
    <t xml:space="preserve">AICI202205-1-5</t>
  </si>
  <si>
    <t xml:space="preserve">AICI202205-1-5| Revisión mensual de Reps Vs Servicios por sede para determinar necesidad de novedades (19/10/2022 - 19/12/2022)</t>
  </si>
  <si>
    <t xml:space="preserve">AICI202205-2</t>
  </si>
  <si>
    <t xml:space="preserve">La Subred Norte ESE no cuenta con un procedimiento unificado que permita soportar y controlar el cumplimiento de los requisitos normativos establecidos para el talento humano que presta los servicios de salud ambulatorios conforme a lo definido en la resolución 3100 de 2019 numeral 11.1.1 y otra normatividad asociada al tema.</t>
  </si>
  <si>
    <t xml:space="preserve">No hay una articulación adecuada entre la Dirección de Talento Humano y el Área de contratación lo que impide que haya unificación de criterios en el manejo del soporte del talento humano asistencial y los responsables de la verificación, custodia, seguimiento y control de esta información.</t>
  </si>
  <si>
    <t xml:space="preserve">Directora de Ambulatorios 
Jefe Oficina de Talento Humano
Jefe Oficina de Contratación
Jefe Oficina de Calidad</t>
  </si>
  <si>
    <t xml:space="preserve">AICI202205-2-1</t>
  </si>
  <si>
    <t xml:space="preserve">AICI202205-2-1| Solicitar vía correo electrónico a la Dirección de Talento Humano y a la Dirección de Contratación, el mecanismo … (18/08/2022 - 01/10/2022)</t>
  </si>
  <si>
    <t xml:space="preserve">AICI202205-3</t>
  </si>
  <si>
    <t xml:space="preserve">Se evidenciaron debilidades en el proceso de supervisión de los servicios contratados con terceros: Cardiología y Gastroenterología, ya que, el supervisor está centrando la atención en el proceso de verificación de la cuenta entregada por el contratista y los procedimientos realizados para su certificación, dejando de lado el control del cumplimiento de otros requisitos técnico-científicos y de calidad contemplados igualmente en las cláusulas contractuales.</t>
  </si>
  <si>
    <t xml:space="preserve">La certificación de servicios tercerizados se enfoca solo en aspectos financieros de ejecución y soporte de las cuentas y no se esta aplicando el manual de supervisión e interventoría contractual de la Subred, en lo referente a los mecanismos o actividades específicas que se deben soportar y revisar en el cumplimiento de los aspectos científicos y técnicos contratados.</t>
  </si>
  <si>
    <t xml:space="preserve">Directora de Ambulatorios
Directora contratación</t>
  </si>
  <si>
    <t xml:space="preserve">AICI202205-3-1</t>
  </si>
  <si>
    <t xml:space="preserve">AICI202205-3-1| Socializar a supervisores el manual de contratación y supervisión e interventoría institucional. (18/08/2022 - 18/11/2022)</t>
  </si>
  <si>
    <t xml:space="preserve">Directora de Ambulatorios
Jefe Oficina de Calidad</t>
  </si>
  <si>
    <t xml:space="preserve">AICI202205-3-2</t>
  </si>
  <si>
    <t xml:space="preserve">AICI202205-3-2| Solicitar acompañamiento de la Oficina de Calidad para que trimestralmente se realice seguimiento al cumplimiento… (18/08/2022 - 18/11/2022)</t>
  </si>
  <si>
    <t xml:space="preserve">AICI202205-3-3</t>
  </si>
  <si>
    <t xml:space="preserve">AICI202205-3-3| Seguimiento trimestral al cumplimiento de estándares de Sistema Único de Habilitación mediante la aplicación de … (18/08/2022 - 18/11/2022)</t>
  </si>
  <si>
    <t xml:space="preserve">AICI202205-4</t>
  </si>
  <si>
    <t xml:space="preserve">Se evidenciaron debilidades en gestión de los riesgos del proceso de Gestión Ambulatoria en lo referente a análisis del riesgo, diseño de controles, formulación de indicadores y en la retroalimentación al líder del proceso por parte de la Oficina de Desarrollo Institucional. No se encontró coincidencia entre el mapa de riesgos publicados en la página WEB de la entidad, link de transparencia y el suministrado por la oficina de Desarrollo Institucional y la Dirección de ambulatorios</t>
  </si>
  <si>
    <t xml:space="preserve">No hay una adecuada comprensión y apropiación de la política institucional de riesgos debido alas falencias de los procesos metodológicos institucionales orientados a la elaboración del mapa de riesgos, su implementación y seguimiento.</t>
  </si>
  <si>
    <t xml:space="preserve">Oficina de Desarrollo Institucional
Director Ambulatorios</t>
  </si>
  <si>
    <t xml:space="preserve">AICI202205-4-1</t>
  </si>
  <si>
    <t xml:space="preserve">AICI202205-4-1| Coordinar mesa de trabajo con la Oficina de Desarrollo Institucional, para recibir línea técnica para la actualización… (18/08/2022 - 25/11/2022)</t>
  </si>
  <si>
    <t xml:space="preserve">AICI202205-5</t>
  </si>
  <si>
    <t xml:space="preserve">El responsable del proceso de agendamiento de citas a nivel institucional no corresponde a lo enunciado en el mapa de riesgos de corrupción, pasó de ser responsabilidad de la Oficina de Participación Social y Atención al Usuario al Área de facturación y el riesgo se encuentra actualmente sin control.</t>
  </si>
  <si>
    <t xml:space="preserve">Falta de seguimiento a los mapas de riesgo de corrupción por parte de la primera línea de defensa.</t>
  </si>
  <si>
    <t xml:space="preserve">Jefe Oficina de Desarrollo Institucional
Oficina de Participación Social y Atención al Usuario
Directora de Ambulatorios</t>
  </si>
  <si>
    <t xml:space="preserve">AICI202205-5-1</t>
  </si>
  <si>
    <t xml:space="preserve">AICI202205-5-1| Solicitar a la Oficina de Participación Social y Atención al Usuario realizar la novedad a Oficina de desarrollo … (18/08/2022 - 01/10/2022)</t>
  </si>
  <si>
    <t xml:space="preserve">AICI202205-6</t>
  </si>
  <si>
    <t xml:space="preserve">Incumplimiento en la Resolución 1552 del 2013, en sus artículos 1, 2 y 3, relacionados con la oportunidad de asignación de citas y agendas abiertas. Ya que a apertura de agendas se realiza cada 3, 8 ,15 días y 1 vez al mes (dependiendo tipo de cita y especialidad).</t>
  </si>
  <si>
    <t xml:space="preserve">Escasa oferta de algunos perfiles especializados (por ej: Neurología pediátrica, ofralmologia pediátrica),lo cual impide agendar citas con especialidades.</t>
  </si>
  <si>
    <t xml:space="preserve">Directora de Ambulatorios</t>
  </si>
  <si>
    <t xml:space="preserve">AICI202205-6-1</t>
  </si>
  <si>
    <t xml:space="preserve">AICI202205-6-1| Radicación de requerimientos para contratación de perfiles especializados requeridos. (31/08/2022 - 31/12/2022)</t>
  </si>
  <si>
    <t xml:space="preserve">AICI202205-6-2</t>
  </si>
  <si>
    <t xml:space="preserve">AICI202205-6-2| Requerir a Subredes que cuenten con el servicio especializado que nos cubran nuestra oferta, para garantizar el… (31/08/2022 - 31/12/2022)</t>
  </si>
  <si>
    <t xml:space="preserve">AICI202205-6-3</t>
  </si>
  <si>
    <t xml:space="preserve">AICI202205-6-3| Aumentar la contratación de médicos especialistas para mejorar la oferta (31/08/2022 - 31/12/2022)</t>
  </si>
  <si>
    <t xml:space="preserve">AICI202205-7</t>
  </si>
  <si>
    <t xml:space="preserve">Diferencias en los indicadores de oportunidad, producción, cupos ofertados, inasistencia, reportados por de la Dirección de ambulatorios en los informes de agenda estratégica, la información publicada en el CIP y los datos del drive institucional de “Estadísticas Hospitalarias Red Norte” -carpeta indicadores de calidad</t>
  </si>
  <si>
    <t xml:space="preserve">No se cuenta con procedimientos unificados para la captura de información y no se cuenta con la articulación entre los procesos generadores de datos para capturar y procesarlos confiablemente.</t>
  </si>
  <si>
    <t xml:space="preserve">Jefe Oficina de Desarrollo Institucional
Jefe Oficina de sistemas de Información</t>
  </si>
  <si>
    <t xml:space="preserve">AICI202205-7-1</t>
  </si>
  <si>
    <t xml:space="preserve">AICI202205-7-1| Realizar mesa de trabajo con Oficina de Calidad y de Desarrollo Institucional para determinar la fuente de captura… (01/09/2022 - 01/10/2022)</t>
  </si>
  <si>
    <t xml:space="preserve">AICI202205-8</t>
  </si>
  <si>
    <t xml:space="preserve">No hay coincidencia entre los estándares de rendimiento de consulta especializada establecidos por la Secretaría Distrital de Salud y los estándares de rendimiento que se aplican para algunas de las consultas especializadas al interior de la Subred Norte ESE. Situación que afecta el cumplimiento de indicadores de la entidad en el marco de evaluación de la gestión de las Subredes.</t>
  </si>
  <si>
    <t xml:space="preserve">Suscripcion de acuerdo laboral sindical que modifica el rendimiento de las especialidades al personal de planta (dos consultas por hora).</t>
  </si>
  <si>
    <t xml:space="preserve">Directora de Ambulatorios
Jefe Oficina de sistemas de Información</t>
  </si>
  <si>
    <t xml:space="preserve">AICI202205-8-1</t>
  </si>
  <si>
    <t xml:space="preserve">AICI202205-8-1| Realizar envio mensual de la relacion del personal de planta asistencial especializado, a quien le aplica el acuerdo… (15/09/2022 - 15/12/2022)</t>
  </si>
  <si>
    <t xml:space="preserve">AICI202206</t>
  </si>
  <si>
    <t xml:space="preserve">PQRS - Atención al Ciudadano</t>
  </si>
  <si>
    <t xml:space="preserve">1.5. Participación social y atención al usuario</t>
  </si>
  <si>
    <t xml:space="preserve">AICI202206-1</t>
  </si>
  <si>
    <t xml:space="preserve">1. Dar cumplimiento a los lineamientos de publicación de información y accesibilidad WEB, según lo dispuesto en la resolución 1519 de 2020, en especial lo relacionado con el anexo 2, numeral 2.4.3 Menú Atención y Servicios a la Ciudadanía.</t>
  </si>
  <si>
    <t xml:space="preserve">• La información sobre los canales de interacción con la ciudadanía no cumple con los criterios de accesibilidad WEB definidos en la normatividad relacionada.</t>
  </si>
  <si>
    <t xml:space="preserve">Jefe Oficina de Participación Comunitaria y Servicio al Ciudadano</t>
  </si>
  <si>
    <t xml:space="preserve">AICI202206-1-1</t>
  </si>
  <si>
    <t xml:space="preserve">AICI202206-1-1| Actualizar la información de los canales de interacción con la ciudadanía (07/06/2022 - 30/09/2022)</t>
  </si>
  <si>
    <t xml:space="preserve">AICI202206-1-2</t>
  </si>
  <si>
    <t xml:space="preserve">AICI202206-1-2| Solicitar a la Oficina de Comunicaciones la actualización de la información de los canales de interacción con la ciudadanía ... (01/10/2022 - 30/11/2022)</t>
  </si>
  <si>
    <t xml:space="preserve">AICI202206-2</t>
  </si>
  <si>
    <t xml:space="preserve">2. Implementar acciones efectivas para realizar un seguimiento al cumplimiento de los términos establecidos para dar respuesta a las PQRS recibidas en especial con lo definido en la Ley 2207 de 17 de mayo de 2022, la cual define que los términos de respuesta de
los derechos de petición son los establecidos en la Ley 1437 de 2011 modificada por la Ley 1755 de 2015.</t>
  </si>
  <si>
    <t xml:space="preserve">• Se presentan PQRS fuera de términos</t>
  </si>
  <si>
    <t xml:space="preserve">AICI202206-2-1</t>
  </si>
  <si>
    <t xml:space="preserve">AICI202206-2-1| Solicitar capacitación del Sistema Distrital Para la Gestión de Peticiones Ciudadanas – Bogotá te escucha a la Dirección del ... (07/06/2022 - 31/08/2022)</t>
  </si>
  <si>
    <t xml:space="preserve">AICI202206-2-2</t>
  </si>
  <si>
    <t xml:space="preserve">AICI202206-2-2| Socializar los Criterios de calidad: Oportunidad, Claridad, Coherencia y Calidez con los directivos como responsables de proyectar respuesta ... (07/06/2022 - 31/08/2022)</t>
  </si>
  <si>
    <t xml:space="preserve">AICI202206-2-3</t>
  </si>
  <si>
    <t xml:space="preserve">AICI202206-2-3| Reportar el incumplimiento de términos a la Oficina de asuntos disciplinarios (01/09/2022 - 30/11/2022)</t>
  </si>
  <si>
    <t xml:space="preserve">AICI202206-3</t>
  </si>
  <si>
    <t xml:space="preserve">3. Publicar los informes sobre acceso a información de acuerdo con el esquema de publicación de información.</t>
  </si>
  <si>
    <t xml:space="preserve">• Los informes de solicitudes de acceso a la información deben ser publicados según lo dispuesto en el artículo 2.1.1.6.2 del Decreto 1081 del 26 de mayo de 2015. El informe como mínimo de contener la siguiente información: número de solicitudes recibidas, número de solicitudes que fueron trasladadas a otra institución, tiempo de respuesta a cada solicitud y número de solicitudes en las que se negó el acceso a la información.</t>
  </si>
  <si>
    <t xml:space="preserve">AICI202206-3-1</t>
  </si>
  <si>
    <t xml:space="preserve">AICI202206-3-1| Incluir la información mínima requerida de las solicitudes de acceso a la información, en el informe trimestral de gestión de la voz del usuario, que se publica... (07/06/2022 - 30/11/2022)</t>
  </si>
  <si>
    <t xml:space="preserve">AICI202206-4</t>
  </si>
  <si>
    <t xml:space="preserve">4. Disponer e incentivar mecanismos que permitan denunciar actos de corrupción de manera fácil, segura y adecuada, de acuerdo con la directiva 01 de 2021, incluyendo protección de identidad del denunciante.</t>
  </si>
  <si>
    <t xml:space="preserve">• “En cada página web de las entidades del distrito se dispondrá de un botón visible para que los ciudadanos puedan presentar las denuncias por posibles actos de corrupción … en donde encontraran información guía sobre cuales son actos de corrupción”</t>
  </si>
  <si>
    <t xml:space="preserve">AICI202206-4-1</t>
  </si>
  <si>
    <t xml:space="preserve">AICI202206-4-1| Generar de manera conjunta con la Dirección de Gestión del Talento Humano, pieza comunicativa que informe sobre actos corrupción y conflicto de intereses ... (07/06/2022 - 30/09/2022)</t>
  </si>
  <si>
    <t xml:space="preserve">AICI202206-4-2</t>
  </si>
  <si>
    <t xml:space="preserve">AICI202206-4-2| Solicitar a la Oficina de Comunicaciones la actualización del link de denuncia por presuntos actos de corrupción (01/10/2022 - 30/11/2022)</t>
  </si>
  <si>
    <t xml:space="preserve">AICI202206-5</t>
  </si>
  <si>
    <t xml:space="preserve">5. Mantener un monitoreo constante a la página WEB con el fin de que la información relacionada con la atención PQRS y defensor del ciudadano esté disponible y actualizada.</t>
  </si>
  <si>
    <t xml:space="preserve">• En la página Web de la subred, existe información obsoleta, mal ubicada, links rotos y de poca utilidad relacionada con la OPCSC y el menú de Atención y Servicios a la Ciudadanía. El Link de defensor de ciudadano no muestra información sobre sus funciones e informes presentados, de acuerdo con lo expuesto en el decreto 392 de 2015.</t>
  </si>
  <si>
    <t xml:space="preserve">AICI202206-5-1</t>
  </si>
  <si>
    <t xml:space="preserve">AICI202206-5-1| Actualizar información y enlaces de la pagina web relacionado con la Oficina de Participación Comunitaria y Servicio al Ciudadano - OPCSC (07/06/2022 - 30/11/2022)</t>
  </si>
  <si>
    <t xml:space="preserve">AICI202206-5-2</t>
  </si>
  <si>
    <t xml:space="preserve">AICI202206-5-2| Monitorear periódicamente que la información relacionada con la atención PQRSD y defensor del ciudadano esté disponible y actualizada en la página WEB de la Subred (07/06/2022 - 30/11/2022)</t>
  </si>
  <si>
    <t xml:space="preserve">AICI202206-6</t>
  </si>
  <si>
    <t xml:space="preserve">6. Capacitar a funcionarios y/o colaboradores en el manejo del sistema de Bogotá te Escucha, con el fin superar la brecha de incumplimiento de dicho atributo.</t>
  </si>
  <si>
    <t xml:space="preserve">• El manejo del sistema es el atributo de calidad y calidez que presenta mayor grado de incumplimiento durante el período evaluado.</t>
  </si>
  <si>
    <t xml:space="preserve">AICI202206-6-1</t>
  </si>
  <si>
    <t xml:space="preserve">AICI202206-6-1| Solicitar capacitación del Sistema Distrital Para la Gestión de Peticiones Ciudadanas – Bogotá te escucha a la Dirección del ... (07/06/2022 - 31/08/2022)</t>
  </si>
  <si>
    <t xml:space="preserve">AICI202206-6-2</t>
  </si>
  <si>
    <t xml:space="preserve">AICI202206-6-2| Retroalimentar a los colaboradores, sobre los resultados de seguimiento de las SDS y Dirección de Calidad de la Secretaria General. (07/06/2022 - 30/11/2022)</t>
  </si>
  <si>
    <t xml:space="preserve">AICI202206-6-3</t>
  </si>
  <si>
    <t xml:space="preserve">AICI202206-6-3| Medir adherencia al procedimiento de Gestión de la Voz del Usuario (01/11/2022 - 30/11/2022)</t>
  </si>
  <si>
    <t xml:space="preserve">AICI202206-7</t>
  </si>
  <si>
    <t xml:space="preserve">7. Dar cumplimiento sobre la autorización del tratamiento de datos personales en el sentido de acompañar las imágenes del informe con la respectiva anotación de autorización del titular, teniendo en cuenta que la autorización para el Tratamiento de Datos Personales debe ser previa, expresa e informada. En caso de no disponer de dicha autorización, se debe anonimizar la información y/o retirar las imágenes de los informes.</t>
  </si>
  <si>
    <t xml:space="preserve">• En el informe trimestral año 2.022 oficina de participación comunitaria y servicio al ciudadano, no se da cumplimiento a lo dispuesto en el artículo 6 del Decreto 1377 de 2013 y los artículos 9 y 12 de la Ley 1581 de 2012</t>
  </si>
  <si>
    <t xml:space="preserve">AICI202206-7-1</t>
  </si>
  <si>
    <t xml:space="preserve">AICI202206-7-1| Verificar la existencia de las autorizaciones por escrito del tratamiento de datos personales, anonimizar la información y/o retirar las imágenes del I informe de Gestión Trimestral 2022 (07/06/2022 - 30/06/2022)</t>
  </si>
  <si>
    <t xml:space="preserve">AICI202208</t>
  </si>
  <si>
    <t xml:space="preserve">Gestión Ambiente Físico y Tecnológico</t>
  </si>
  <si>
    <t xml:space="preserve">AICI202208-1</t>
  </si>
  <si>
    <t xml:space="preserve">Deficiencias en el diseño y redacción de los controles definidos para la mitigación de los riesgos del mapa de riesgos de la Subred y que están relacionados con la gestión del ambiente físico y tecnológico y posibles actos de corrupción en el proceso</t>
  </si>
  <si>
    <t xml:space="preserve">El mapa de riesgos que está implementado para subred no se ha actualizado desde el 2020, por lo cual  los controles en su mayoría no cumplen  con la metodología establecida por el DAFP</t>
  </si>
  <si>
    <t xml:space="preserve">Dirección Administrativa</t>
  </si>
  <si>
    <t xml:space="preserve">AICI202208-1-1</t>
  </si>
  <si>
    <t xml:space="preserve">AICI202208-1-1| Realizar el proceso de Actualización del mapa de riesgos del proceso de ambiente físico y tecnológico, reforzando la identificación ... (19/10/2022 - 31/08/2023)</t>
  </si>
  <si>
    <t xml:space="preserve">AICI202208-2</t>
  </si>
  <si>
    <t xml:space="preserve">Incongruencias de resultados de datos entre las fichas de indicadores, las matrices y los formatos de obsolescencia de los equipos biomédicos</t>
  </si>
  <si>
    <t xml:space="preserve">Error Humano de digitación.</t>
  </si>
  <si>
    <t xml:space="preserve">Ingeniería Biomédica</t>
  </si>
  <si>
    <t xml:space="preserve">AICI202208-2-1</t>
  </si>
  <si>
    <t xml:space="preserve">AICI202208-2-1| Revisión y ajuste del manual de gestión de la tecnología (19/10/2022 - 31/12/2022)</t>
  </si>
  <si>
    <t xml:space="preserve">AICI202208-2-2</t>
  </si>
  <si>
    <t xml:space="preserve">AICI202208-2-2| Seguimiento trimestral a la información plasmada y registrada en las bases de datos mediante doble chequeo por el líder del proceso (19/10/2022 - 31/03/2023)</t>
  </si>
  <si>
    <t xml:space="preserve">AICI202208-3</t>
  </si>
  <si>
    <t xml:space="preserve">Se encontraron fallas en la clasificación de acciones inseguras, en la clasificación biomédica de los equipos, y en el reporte y control de eventos adversos.</t>
  </si>
  <si>
    <t xml:space="preserve">1. Falta de análisis de resultados en la matriz de capacitación de biomédica para generar acciones que generen la disminución de los eventos adversos</t>
  </si>
  <si>
    <t xml:space="preserve">Líder de Ingeniería Biomédica</t>
  </si>
  <si>
    <t xml:space="preserve">AICI202208-3-1</t>
  </si>
  <si>
    <t xml:space="preserve">AICI202208-3-1| Capacitación trimestral al personal interno sobre los procesos y procedimientos del área de biomédica midiendo la adherencia de ... (19/10/2022 - 31/12/2022)</t>
  </si>
  <si>
    <t xml:space="preserve">2. Error humano, posible falta de capacitación procedimiento y clasificación de los eventos adversos por parte de los Ingenieros Biomédicos</t>
  </si>
  <si>
    <t xml:space="preserve">AICI202208-3-2</t>
  </si>
  <si>
    <t xml:space="preserve">AICI202208-3-2| Realizar auditorias internas semestralmente a la documentación y bases de datos de información generada por el proceso (19/10/2022 - 30/06/2023)</t>
  </si>
  <si>
    <t xml:space="preserve">AICI202208-4</t>
  </si>
  <si>
    <t xml:space="preserve">Se encontraron debilidades en el control de activos  generando baja confiabilidad de la información registrada toda vez en la prueba de inventarios realizada por la Oficina se encontraron 38 elementos faltantes,  no hay coincidencia en las placas físicas con lo registrado en el sistema.</t>
  </si>
  <si>
    <t xml:space="preserve">1. Traslados de activos entre responsables y ubicaciones
2. Base de activos fijos se encuentra desactualizado</t>
  </si>
  <si>
    <t xml:space="preserve">Activos Fijos</t>
  </si>
  <si>
    <t xml:space="preserve">AICI202208-4-1</t>
  </si>
  <si>
    <t xml:space="preserve">AICI202208-4-1| Realización del inventario y depuración de la matriz de activos (19/10/2022 - 31/03/2023)</t>
  </si>
  <si>
    <t xml:space="preserve">AICI202208-4-2</t>
  </si>
  <si>
    <t xml:space="preserve">AICI202208-4-2| Rediseño del procedimiento estableciendo controles que permitan mejorar su funcionamiento (19/10/2022 - 31/03/2023)</t>
  </si>
  <si>
    <t xml:space="preserve">AICI202208-5</t>
  </si>
  <si>
    <t xml:space="preserve">Se evidencian falencias, en el proceso de bajas; dado que existen conceptos técnicos de baja de elementos devolutivos e inventarios de junio y octubre de 2021 con elementos que aún no han sido descargados del sistema de información o base de activos fijos</t>
  </si>
  <si>
    <t xml:space="preserve">El sistema de información y control para los activos físicos no es efectivo y no permite garantizar el control de los mismos.
Falta de seguimiento a los actos administrativos de baja y actualización del sistema
</t>
  </si>
  <si>
    <t xml:space="preserve">Activos Fijos y Dirección Administrativa</t>
  </si>
  <si>
    <t xml:space="preserve">AICI202208-5-1</t>
  </si>
  <si>
    <t xml:space="preserve">AICI202208-5-1| Seguimiento y registro de los actos administrativos de bajas, para el retiro del sistema cada vez que se generen (19/10/2022 - 31/03/2023)</t>
  </si>
  <si>
    <t xml:space="preserve">AICI202208-6</t>
  </si>
  <si>
    <t xml:space="preserve">Fallas en la utilización y ajuste de los formatos normalizados del área por el sistema de calidad para la Subred, existen documentos  que se encuentran duplicados en el sistema de gestión documental.</t>
  </si>
  <si>
    <t xml:space="preserve">Por que  no se ha llevado a cabo el proceso de depuración de los documentos vigentes o formatos en cada una de las áreas.</t>
  </si>
  <si>
    <t xml:space="preserve">Calidad y Dirección Administrativa</t>
  </si>
  <si>
    <t xml:space="preserve">AICI202208-6-1</t>
  </si>
  <si>
    <t xml:space="preserve">AICI202208-6-1| Realizar el proceso de depuración de los documentos en conjunto entre el área de normalización y los lideres de cada área del proceso ... (19/10/2022 - 31/03/2023)</t>
  </si>
  <si>
    <t xml:space="preserve">AICI202208-7</t>
  </si>
  <si>
    <t xml:space="preserve">Incumplimiento de la Circular Externa 01 de 2021 de Colombia Compra Eficiente con respecto a la obligatoriedad de publicar en la plataforma SECOP II la totalidad de los documentos de ejecución de los procesos contractuales</t>
  </si>
  <si>
    <t xml:space="preserve">Desconocimiento de las personas que realizan el proceso de publicación en la plataforma del SECOP sobre la totalidad de las obligaciones precontractuales y contractuales y de los soportes a cargar en la plataforma</t>
  </si>
  <si>
    <t xml:space="preserve">Directora de Contratación - Dirección Administrativa</t>
  </si>
  <si>
    <t xml:space="preserve">AICI202208-7-1</t>
  </si>
  <si>
    <t xml:space="preserve">AICI202208-7-1| Solicitar llevar a cabo dos (2) capacitaciones a los supervisores de contrato, en manejo y diligenciamiento de información contractual ... (19/10/2022 - 31/03/2023)</t>
  </si>
  <si>
    <t xml:space="preserve">AICI202209</t>
  </si>
  <si>
    <t xml:space="preserve">Planes de Bioseguridad COVID 19</t>
  </si>
  <si>
    <t xml:space="preserve">AICI202209-1</t>
  </si>
  <si>
    <t xml:space="preserve">El “Instructivo de reporte de accidentes de trabajo” AP-TH-I-02-02 del 30/05/2017 es muy antiguo y no contempla el tema de reporte de enfermedad laboral por COVID 19. No se evidenció algún documento institucional que oriente sobre este tema.</t>
  </si>
  <si>
    <t xml:space="preserve">No se ha realizado una actualización de los procesos y procedimientos institucionales.</t>
  </si>
  <si>
    <t xml:space="preserve">Equipo Sistema de Gestión de la Seguridad y Salud en el trabajo</t>
  </si>
  <si>
    <t xml:space="preserve">AICI202209-1-1</t>
  </si>
  <si>
    <t xml:space="preserve">AICI202209-1-1| P-Revisar e identificar los aspectos que requieren actualización en el documento (10/08/2022 - 10/09/2022)</t>
  </si>
  <si>
    <t xml:space="preserve">AICI202209-1-2</t>
  </si>
  <si>
    <t xml:space="preserve">AICI202209-1-2| H-Realizar la actualización de los documentos de reporte de accidente de trabajo y enfermedad laboral (11/09/2022 - 10/10/2022)</t>
  </si>
  <si>
    <t xml:space="preserve">AICI202209-1-3</t>
  </si>
  <si>
    <t xml:space="preserve">AICI202209-1-3| V-Remitir el documento actualizado a normalización para formalizarlo (11/10/2022 - 20/10/2022)</t>
  </si>
  <si>
    <t xml:space="preserve">AICI202209-1-4</t>
  </si>
  <si>
    <t xml:space="preserve">AICI202209-1-4| A-Verificar normalización del documento y darlo a conocer a través de intranet o correo electrónico (20/10/2022 - 20/11/2022)</t>
  </si>
  <si>
    <t xml:space="preserve">AICI202209-2</t>
  </si>
  <si>
    <t xml:space="preserve">Demora en la calificación de origen de enfermedad laboral por COVID 19, para los casos reportados a las ARL durante el año 2021.</t>
  </si>
  <si>
    <t xml:space="preserve">Realización de procedimientos demorados por parte de la ARL  de calificación de origen de enfermedad</t>
  </si>
  <si>
    <t xml:space="preserve">AICI202209-2-1</t>
  </si>
  <si>
    <t xml:space="preserve">AICI202209-2-1| P-Revisar e identificar los casos de colaboradores que no tengan calificación de origen del evento por COVID19 (10/08/2022 - 10/09/2022)</t>
  </si>
  <si>
    <t xml:space="preserve">AICI202209-2-2</t>
  </si>
  <si>
    <t xml:space="preserve">AICI202209-2-2| H-Solicitar a las ARL el estado actual de los casos no calificados (11/09/2022 - 10/10/2022)</t>
  </si>
  <si>
    <t xml:space="preserve">AICI202209-2-3</t>
  </si>
  <si>
    <t xml:space="preserve">AICI202209-2-3| V-De acuerdo a la respuesta de las ARL generar las acciones de alcance al SGSST del proceso para recibir respuesta en ... (11/10/2022 - 20/12/2022)</t>
  </si>
  <si>
    <t xml:space="preserve">AICI202209-2-4</t>
  </si>
  <si>
    <t xml:space="preserve">AICI202209-2-4| A-Realizar seguimiento para identificar casos restantes por calificación de origen y solicitar nuevamente respuesta por las ARL (20/12/2022 - 30/12/2022)</t>
  </si>
  <si>
    <t xml:space="preserve">AICI202210</t>
  </si>
  <si>
    <t xml:space="preserve">Gestión Tics</t>
  </si>
  <si>
    <t xml:space="preserve">1.9. Sistemas de Información – Tic</t>
  </si>
  <si>
    <t xml:space="preserve">AICI202210-1</t>
  </si>
  <si>
    <t xml:space="preserve">Debilidades en la documentación del proceso SI-C-01-01-Gestión de la Información y Tics</t>
  </si>
  <si>
    <t xml:space="preserve">Falta de personal disponible para la revisión y actualización de la información.</t>
  </si>
  <si>
    <t xml:space="preserve">Oficina de Sistemas - TIC</t>
  </si>
  <si>
    <t xml:space="preserve">AICI202210-1-1</t>
  </si>
  <si>
    <t xml:space="preserve">AICI202210-1-1| P: Realizar proceso para la contratación de personal capacitado que apoye la implementación de las políticas de Gobierno Digital ... (01/07/2022 - 30/11/2022)</t>
  </si>
  <si>
    <t xml:space="preserve">AICI202210-1-2</t>
  </si>
  <si>
    <t xml:space="preserve">AICI202210-1-2| P: Realizar plan de trabajo para la elaboración y actualización de la documentación con los lideres de los procedimientos del ... (01/01/2023 - 31/01/2023)</t>
  </si>
  <si>
    <t xml:space="preserve">AICI202210-1-3</t>
  </si>
  <si>
    <t xml:space="preserve">AICI202210-1-3| H: Ejecutar plan de trabajo para la elaboración y actualización documentación y solicitar la respectiva  normalización  (01/01/2023 - 30/06/2023)</t>
  </si>
  <si>
    <t xml:space="preserve">AICI202210-1-4</t>
  </si>
  <si>
    <t xml:space="preserve">AICI202210-1-4| V: Socializar la documentación a los funcionarios y/o contratistas y evaluar la efectividad. (01/03/2023 - 30/06/2023)</t>
  </si>
  <si>
    <t xml:space="preserve">AICI202210-1-5</t>
  </si>
  <si>
    <t xml:space="preserve">AICI202210-1-5| A: Identificar oportunidades de mejora e implementarlas (01/07/2023 - 31/12/2023)</t>
  </si>
  <si>
    <t xml:space="preserve">AICI202210-2</t>
  </si>
  <si>
    <t xml:space="preserve">Supervisión ineficiente de los contratos a cargo del proceso de Sistemas de Información y TICs generando un posible riesgo de corrupción frente a la certificación y pago de las facturas de los contratos, dado que no se tiene un control adecuado sobre los incumplimientos reiterados de las obligaciones contractuales, adicionalmente no se están publicando los soportes de supervisión y ejecución de los contratos en la plataforma SECOP</t>
  </si>
  <si>
    <t xml:space="preserve">Desconocimiento del manejo de la plataforma SECOP II para cargar la información contractual relacionada con proveedores</t>
  </si>
  <si>
    <t xml:space="preserve">Oficina de Sistemas - TIC
Oficina de Contratación</t>
  </si>
  <si>
    <t xml:space="preserve">AICI202210-2-1</t>
  </si>
  <si>
    <t xml:space="preserve">AICI202210-2-1| P: Solicitar sencibilización al área de Contratación sobre el manual de supervisión de contratos y manejo de la plataforma SECOP ... (01/01/2023 - 28/02/2023)</t>
  </si>
  <si>
    <t xml:space="preserve">Desconocimiento del manual de contratación de la Subred Norte.</t>
  </si>
  <si>
    <t xml:space="preserve">AICI202210-2-2</t>
  </si>
  <si>
    <t xml:space="preserve">AICI202210-2-2| H: Realizar certificación de contratos dando cumplimiento al manual de supervisión de contratos y garantizar el cargue ... (01/01/2023 - 31/12/2023)</t>
  </si>
  <si>
    <t xml:space="preserve">AICI202210-2-3</t>
  </si>
  <si>
    <t xml:space="preserve">AICI202210-2-3| V: Realizar seguimiento periódico al objeto y a las obligaciones contractuales y verificación del cargue de documentación al SECOP (01/01/2023 - 31/12/2023)</t>
  </si>
  <si>
    <t xml:space="preserve">AICI202210-2-4</t>
  </si>
  <si>
    <t xml:space="preserve">AICI202210-2-4| A: Identificar oportunidades de mejora y e implementarlas (01/01/2023 - 31/12/2023)</t>
  </si>
  <si>
    <t xml:space="preserve">AICI202210-3</t>
  </si>
  <si>
    <t xml:space="preserve">Deficiencias metodológicas en el diseño y redacción de los controles definidos para la mitigación de los riesgos del proceso. Adicionalmente el mapa de riesgos se encuentra desactualizado y no contempla posibles riesgos por actos de corrupción.</t>
  </si>
  <si>
    <t xml:space="preserve">Ausencia de acompañamiento de la Oficina de Desarrollo Institucional para la aplicación de la metodológia de riesgos.</t>
  </si>
  <si>
    <t xml:space="preserve">Oficina de Sistemas - TIC
Oficina de Desarrollo Institucional</t>
  </si>
  <si>
    <t xml:space="preserve">AICI202210-3-1</t>
  </si>
  <si>
    <t xml:space="preserve">AICI202210-3-1| P: Solicitar sensibilización a la oficina de desarrollo institucional, sobre la política de administración de riesgos y metodología .. (01/12/2022 - 31/12/2022)</t>
  </si>
  <si>
    <t xml:space="preserve">AICI202210-3-2</t>
  </si>
  <si>
    <t xml:space="preserve">AICI202210-3-2| H: Actualizar los riesgos de proceso de acuerdo a la metodología de riesgos definida por la entidad e identificar los riesgos de  ... (01/12/2022 - 31/12/2022)</t>
  </si>
  <si>
    <t xml:space="preserve">Falta de actualización y socialización de la política de administración de riesgos de la Subred Norte por parte de los responsables a los procesos de gestión.</t>
  </si>
  <si>
    <t xml:space="preserve">AICI202210-3-3</t>
  </si>
  <si>
    <t xml:space="preserve">AICI202210-3-3| V: Realizar seguimiento a la efectividad de los controles definidos para la mitigación del riesgo (01/03/2023 - 31/12/2023)</t>
  </si>
  <si>
    <t xml:space="preserve">AICI202210-3-4</t>
  </si>
  <si>
    <t xml:space="preserve">AICI202210-3-4| A: Identificar oportunidades de mejora e implementarlas (01/04/2023 - 31/12/2023)</t>
  </si>
  <si>
    <t xml:space="preserve">AICI202210-4</t>
  </si>
  <si>
    <t xml:space="preserve">Las carpetas y archivo de los documentos del proceso, no cumplen con lo establecido y reglamentado en el acuerdo 042 del archivo general de la nación.</t>
  </si>
  <si>
    <t xml:space="preserve">Falta de sensibilización en temas archivisticos por parte del pesonal que gestiona el archivo.</t>
  </si>
  <si>
    <t xml:space="preserve">Oficina de Sistemas - TIC
Oficina de Gestión Documental</t>
  </si>
  <si>
    <t xml:space="preserve">AICI202210-4-1</t>
  </si>
  <si>
    <t xml:space="preserve">AICI202210-4-1| P: Solicitar sensibilización y participar en la mesa de trabajo para el manejo de  archivo documental a la oficina de gestión ... (01/03/2023 - 30/04/2023)</t>
  </si>
  <si>
    <t xml:space="preserve">AICI202210-4-2</t>
  </si>
  <si>
    <t xml:space="preserve">AICI202210-4-2| P: Elaborar plan de trabajo de organización del archivo de hojas de vida de los equipos de computo de acuerdo a la orientación de ... (01/05/2023 - 31/05/2023)</t>
  </si>
  <si>
    <t xml:space="preserve">Falta de supervisión en el control y gestión del archivo documental para evitar los errores en la gestión de carpetas.</t>
  </si>
  <si>
    <t xml:space="preserve">AICI202210-4-3</t>
  </si>
  <si>
    <t xml:space="preserve">AICI202210-4-3| H: Ejecutar plan de trabajo para la organización de las hojas de vida de los quipos de computo. (01/06/2023 - 31/12/2023)</t>
  </si>
  <si>
    <t xml:space="preserve">AICI202210-4-4</t>
  </si>
  <si>
    <t xml:space="preserve">AICI202210-4-4| V: Seguimiento al cumplimiento de plan de trabajo organización de las hojas de vida de los equipos de computo. (01/07/2023 - 31/12/2023)</t>
  </si>
  <si>
    <t xml:space="preserve">AICI202210-4-5</t>
  </si>
  <si>
    <t xml:space="preserve">AICI202210-4-5| A: Identificar oportunidades de mejora e implementarlas (01/08/2023 - 31/12/2023)</t>
  </si>
  <si>
    <t xml:space="preserve">AICI202210-5</t>
  </si>
  <si>
    <t xml:space="preserve">Incumplimiento en el plan de mantenimiento de equipos de cómputo y ausencia de mantenimiento en servidores, lo que genera una posible pérdida en la disponibilidad e integridad de la información ocasionada por daños en servidores y equipos de cómputo.</t>
  </si>
  <si>
    <t xml:space="preserve">Alta rotación en el personal técnico de la entidad, lo que dificulta el cumplimiento del plan.</t>
  </si>
  <si>
    <t xml:space="preserve">AICI202210-5-1</t>
  </si>
  <si>
    <t xml:space="preserve">AICI202210-5-1| P: Realizar proceso para la contratación de personal técnico para el fortalecimiento de gestión y mantenimiento. (01/10/2022 - 31/12/2022)</t>
  </si>
  <si>
    <t xml:space="preserve">AICI202210-5-2</t>
  </si>
  <si>
    <t xml:space="preserve">AICI202210-5-2| P: Elaborar plan de mantenimiento de equipos de computo y servidores ajustando los tiempos de ejecución y socializarlo. (01/01/2023 - 31/01/2023)</t>
  </si>
  <si>
    <t xml:space="preserve">AICI202210-5-3</t>
  </si>
  <si>
    <t xml:space="preserve">AICI202210-5-3| H: Ejecución del plan de mantenimiento de equipos de computo y servidores. (01/02/2023 - 31/12/2023)</t>
  </si>
  <si>
    <t xml:space="preserve">Falta de actualización al plan de mantenimiento una vez se han ejecutado las actividades por parte de los técnicos.</t>
  </si>
  <si>
    <t xml:space="preserve">AICI202210-5-4</t>
  </si>
  <si>
    <t xml:space="preserve">AICI202210-5-4| H: Reportar movimientos de equipos de computo  al área de activos fijos, con el fin de mantener el inventario actualizado en el ... (01/02/2023 - 31/12/2023)</t>
  </si>
  <si>
    <t xml:space="preserve">AICI202210-5-5</t>
  </si>
  <si>
    <t xml:space="preserve">AICI202210-5-5| V: Seguimiento trimestral al plan de mantenimiento. (01/04/2023 - 31/12/2023)</t>
  </si>
  <si>
    <t xml:space="preserve">AICI202210-5-6</t>
  </si>
  <si>
    <t xml:space="preserve">AICI202210-5-6| A: Documentar y socializar las cambios en la ejecución del plan de mantenimiento.e Identificar oportunidades de mejora e implementa (01/02/2023 - 31/12/2023)</t>
  </si>
  <si>
    <t xml:space="preserve">AICI202210-6</t>
  </si>
  <si>
    <t xml:space="preserve">Incumplimiento al Acuerdo de Nivel de Servicios establecido en el documento AP-GI-I-19-01</t>
  </si>
  <si>
    <t xml:space="preserve">Falta de socialización del documento AP-GI-I-19-01 actualizado por la Oficina de Sistemas - TIC a todo el personal técnico.</t>
  </si>
  <si>
    <t xml:space="preserve">AICI202210-6-1</t>
  </si>
  <si>
    <t xml:space="preserve">AICI202210-6-1| P: Revisar y actualizar el documento AP-GI-I-19-01 definiendo los Acuerdos de Niveles de Servicio.  (01/05/2022 - 31/05/2023)</t>
  </si>
  <si>
    <t xml:space="preserve">AICI202210-6-2</t>
  </si>
  <si>
    <t xml:space="preserve">AICI202210-6-2| H: Sensibilizar al personal de la oficina de sistemas de información y TICs  sobre el Instructivo de Acuerdos de Niveles de Servic (01/06/2023 - 30/06/2023)</t>
  </si>
  <si>
    <t xml:space="preserve">AICI202210-6-3</t>
  </si>
  <si>
    <t xml:space="preserve">AICI202210-6-3| V: Realizar seguimiento a los tiempos de atención de la mesa de servicios, generando reportes trimestrales. (01/07/2022 - 31/12/2023)</t>
  </si>
  <si>
    <t xml:space="preserve">AICI202210-6-4</t>
  </si>
  <si>
    <t xml:space="preserve">AICI202210-6-4| A: Identificar oportunidades de mejora e implementarlas (01/07/2023 - 31/12/2023)</t>
  </si>
  <si>
    <t xml:space="preserve">AICI202210-7</t>
  </si>
  <si>
    <t xml:space="preserve">Ausencia de documentación y/o evidencias que soporten la totalidad de las respuestas, en términos de los requisitos técnicos relacionados con el objetivo de la pregunta del FURAG 2021, generando sobre calificación de las Políticas de Seguridad y Gobierno Digital.</t>
  </si>
  <si>
    <t xml:space="preserve">Falla en la revisión y aprobación del fomulario FURAG por el líder de la política para comprobar la veracidad de las respuestas.</t>
  </si>
  <si>
    <t xml:space="preserve">AICI202210-7-1</t>
  </si>
  <si>
    <t xml:space="preserve">AICI202210-7-1| P: Solicitar Sensibilización del Modelo de Integración de Planeación y Gestión  - MIPG por  la oficina Asesora de Desarrollo ... (01/02/2023 - 31/03/2023)</t>
  </si>
  <si>
    <t xml:space="preserve">Desconocimiento del contexto institucional y de la Política de Gobierno Digital para el diligenciamiento del formulario FURAG.</t>
  </si>
  <si>
    <t xml:space="preserve">AICI202210-7-2</t>
  </si>
  <si>
    <t xml:space="preserve">AICI202210-7-2| P: Realizar Plan de acción de MIPG en conjunto con desarrollo institucional de la política de Gobierno Digital y Seguridad Digital (01/04/2022 - 31/05/2022)</t>
  </si>
  <si>
    <t xml:space="preserve">AICI202210-7-3</t>
  </si>
  <si>
    <t xml:space="preserve">AICI202210-7-3| H: Ejecutar Plan de acción de MIPG de acuerdo a las acciones aportando las respectivas evidencias. (01/06/2022 - 31/12/2022)</t>
  </si>
  <si>
    <t xml:space="preserve">AICI202210-7-4</t>
  </si>
  <si>
    <t xml:space="preserve">AICI202210-7-4| V: Seguimiento de las actividades realizadas y la verificación de las evidencias conforme a las acciones (01/07/2022 - 31/12/2022)</t>
  </si>
  <si>
    <t xml:space="preserve">AICI202210-7-5</t>
  </si>
  <si>
    <t xml:space="preserve">AICI202210-7-5| A: Identificar oportunidades de mejora e implementarlas (01/07/2022 - 31/12/2022)</t>
  </si>
  <si>
    <t xml:space="preserve">AICI202210-8</t>
  </si>
  <si>
    <t xml:space="preserve">Materialización del riesgo de daño en la base de datos de Orfeo, con pérdida en la disponibilidad de la información y posible compromiso de los datos, sin que mediara un procedimiento documentado sobre la gestión del incidente.</t>
  </si>
  <si>
    <t xml:space="preserve">Falta de soporte y mantenimiento al Aplicativo de Orfeo</t>
  </si>
  <si>
    <t xml:space="preserve">AICI202210-8-1</t>
  </si>
  <si>
    <t xml:space="preserve">AICI202210-8-1| P: Actualizar el Plan de contingencia de los sistemas de información  que soportan los procesos internos de la institución para ... (01/02/2023 - 31/03/2023)</t>
  </si>
  <si>
    <t xml:space="preserve">Falla en la programación de las copias de seguridad del Aplicativo Orfeo</t>
  </si>
  <si>
    <t xml:space="preserve">AICI202210-8-2</t>
  </si>
  <si>
    <t xml:space="preserve">AICI202210-8-2| P: Actualizar el Instructivo de generación y restauración de copias de seguridad (01/03/2023 - 30/04/2023)</t>
  </si>
  <si>
    <t xml:space="preserve">AICI202210-8-3</t>
  </si>
  <si>
    <t xml:space="preserve">AICI202210-8-3| H: Aprobar el Plan de contingencia de los sistemas de información. (01/04/2023 - 31/05/2023)</t>
  </si>
  <si>
    <t xml:space="preserve">AICI202210-8-4</t>
  </si>
  <si>
    <t xml:space="preserve">AICI202210-8-4| H: Socializar el Plan de contingencia de los sistemas de información y el instructivo de generación y restauración de copias de ... (01/06/2023 - 31/08/2023)</t>
  </si>
  <si>
    <t xml:space="preserve">AICI202210-8-5</t>
  </si>
  <si>
    <t xml:space="preserve">AICI202210-8-5| H: Contratar mantenimiento y soporte al sistema de información Orfeo de la Subred Norte. (01/12/2022 - 31/01/2023)</t>
  </si>
  <si>
    <t xml:space="preserve">AICI202210-8-6</t>
  </si>
  <si>
    <t xml:space="preserve">AICI202210-8-6| H: Realizar informe sobre el resultado de la evaluación del incidente sobre el aplicativo Orfeo. (01/01/2023 - 30/04/2023)</t>
  </si>
  <si>
    <t xml:space="preserve">AICI202210-8-7</t>
  </si>
  <si>
    <t xml:space="preserve">AICI202210-8-7| V: Realizar pruebas del plan de contingencia de los sistemas de información. (01/06/2023 - 31/12/2023)</t>
  </si>
  <si>
    <t xml:space="preserve">AICI202210-8-8</t>
  </si>
  <si>
    <t xml:space="preserve">AICI202210-8-8| V: Realizar seguimiento a la ejecución de copias de seguridad y su restauración, de acuerdo al instructivo. (01/06/2023 - 31/12/2023)</t>
  </si>
  <si>
    <t xml:space="preserve">AICI202210-8-9</t>
  </si>
  <si>
    <t xml:space="preserve">AICI202210-8-9| A: Identificar oportunidades de mejora e implementarlas (01/07/2023 - 31/12/2023)</t>
  </si>
  <si>
    <t xml:space="preserve">AICI202210-9</t>
  </si>
  <si>
    <t xml:space="preserve">Exposición de la información almacenada en los equipos de cómputo y servidores a ataques informáticos causados por malware, debidos al vencimiento del sistema antivirus.</t>
  </si>
  <si>
    <t xml:space="preserve">Fallas en la planeación de la contratación de los servicios de T.I y demoras registradas en el área de contratación, lo que genera retrasos en la adqusición de productos y servicios.</t>
  </si>
  <si>
    <t xml:space="preserve">AICI202210-9-1</t>
  </si>
  <si>
    <t xml:space="preserve">AICI202210-9-1| P: Elaborar Plan Anual de Adquisiciones de la oficina de gestión de información y TICs, para adquisición de bienes y servicios ... (01/11/2022 - 31/12/2022)</t>
  </si>
  <si>
    <t xml:space="preserve">AICI202210-9-2</t>
  </si>
  <si>
    <t xml:space="preserve">AICI202210-9-2| H: Generar  un tablero de control para realizar seguimiento al estado de los contratos y determinar fechas para dar inicio a ... (01/01/2023 - 28/02/2023)</t>
  </si>
  <si>
    <t xml:space="preserve">AICI202210-9-3</t>
  </si>
  <si>
    <t xml:space="preserve">AICI202210-9-3| V: Realizar seguimiento al estado de los contratos de acuerdo al tablero de control. (01/03/2023 - 31/12/2023)</t>
  </si>
  <si>
    <t xml:space="preserve">AICI202210-9-4</t>
  </si>
  <si>
    <t xml:space="preserve">AICI202210-9-4| A: Identificar oportunidades de mejora e implementarlas (01/04/2023 - 31/12/2023)</t>
  </si>
  <si>
    <t xml:space="preserve">AICI202210-10</t>
  </si>
  <si>
    <t xml:space="preserve">Falta de un plan de continuidad del negocio y ejercicios de simulación y respuesta ante el evento de que una amenaza explote una vulnerabilidad de un activo de información crítico.</t>
  </si>
  <si>
    <t xml:space="preserve">Procesos y procedimientos institucionales desactualizados.</t>
  </si>
  <si>
    <t xml:space="preserve">AICI202210-10-1</t>
  </si>
  <si>
    <t xml:space="preserve">AICI202210-10-1| P: Formular politica de continuidad del negocio de acuerdo a los objetivos estratégicos de la entidad. (01/02/2023 - 31/03/2023)</t>
  </si>
  <si>
    <t xml:space="preserve">Oficina de Sistemas - TIC
Todos los procesos</t>
  </si>
  <si>
    <t xml:space="preserve">AICI202210-10-2</t>
  </si>
  <si>
    <t xml:space="preserve">AICI202210-10-2| P: Incluir en el Plan de Trabajo del PETI vigencia 2023 la actualización y despliegue del plan de continuidad del negocio. (01/01/2023 - 31/01/2023)</t>
  </si>
  <si>
    <t xml:space="preserve">Ausencia de la ejecución de simulacros e implementación del plan de continuidad del negocio.</t>
  </si>
  <si>
    <t xml:space="preserve">AICI202210-10-3</t>
  </si>
  <si>
    <t xml:space="preserve">AICI202210-10-3| H: Elaborar el Plan de Trabajo del PETI vigencia 2023 (01/01/2023 - 31/01/2023)</t>
  </si>
  <si>
    <t xml:space="preserve">AICI202210-10-4</t>
  </si>
  <si>
    <t xml:space="preserve">AICI202210-10-4| V: Realizar seguimiento mensual al plan de trabajo PETI. (01/02/2023 - 31/12/2023)</t>
  </si>
  <si>
    <t xml:space="preserve">AICI202210-10-5</t>
  </si>
  <si>
    <t xml:space="preserve">AICI202210-10-5| A: Identificar oportunidades de mejora e implementarlas (01/03/2023 - 31/12/2023)</t>
  </si>
  <si>
    <t xml:space="preserve">AICI202210-11</t>
  </si>
  <si>
    <t xml:space="preserve">El inventario de activos de información de la Entidad no contempla los inventarios de activos de información de Tics, ni la caracterización de los riesgos de seguridad y privacidad de la información de acuerdo con la metodología definida por el DAFP y MINTIC.</t>
  </si>
  <si>
    <t xml:space="preserve">El inventario de activos de infomación aporbado y publicado, no cuenta con la valoración de todos los activos de información ni con los lineamientos establecidos por MinTIC</t>
  </si>
  <si>
    <t xml:space="preserve">AICI202210-11-1</t>
  </si>
  <si>
    <t xml:space="preserve">AICI202210-11-1| P: Documentar el procedimiento de levantamiento y actualización de activos de información, estableciendo las directrices y ... (01/01/2023 - 31/03/2023)</t>
  </si>
  <si>
    <t xml:space="preserve">AICI202210-11-2</t>
  </si>
  <si>
    <t xml:space="preserve">AICI202210-11-2| H: Elaborar y diligenciar la matriz de activos de información de acuerdo a la Guía de MinTIC y al procedimiento documentado (01/04/2023 - 30/06/2023)</t>
  </si>
  <si>
    <t xml:space="preserve">AICI202210-11-3</t>
  </si>
  <si>
    <t xml:space="preserve">AICI202210-11-3| H: Identificar los riesgos de los activos de información de acuerdo con la metodología de gestión de riesgos de Seguridad de ... (01/07/2023 - 30/09/2023)</t>
  </si>
  <si>
    <t xml:space="preserve">AICI202210-11-4</t>
  </si>
  <si>
    <t xml:space="preserve">AICI202210-11-4| H: Definir los controles y formular el plan de tratamiento para el análisis y gestión de los activos de información de acuerdo con ... (01/10/2023 - 31/10/2023)</t>
  </si>
  <si>
    <t xml:space="preserve">AICI202210-11-5</t>
  </si>
  <si>
    <t xml:space="preserve">AICI202210-11-5| V: Realizar seguimiento y evaluación al plan de tratamiento de riesgos (01/11/2023 - 31/12/2023)</t>
  </si>
  <si>
    <t xml:space="preserve">AICI202210-11-6</t>
  </si>
  <si>
    <t xml:space="preserve">AICI202210-11-6| A: Identificar oportunidades de mejora e implementarlas (01/12/2023 - 31/12/2023)</t>
  </si>
  <si>
    <t xml:space="preserve">AICI202210-12</t>
  </si>
  <si>
    <t xml:space="preserve">Fallas en los procedimientos y políticas de control de acceso a las aplicaciones y servicios informáticos. Se debe evitar el acceso no autorizado a sistemas y servicios</t>
  </si>
  <si>
    <t xml:space="preserve">Fallas en las políticas de control de acceso aplicadas a los sistemas de información.</t>
  </si>
  <si>
    <t xml:space="preserve">AICI202210-12-1</t>
  </si>
  <si>
    <t xml:space="preserve">AICI202210-12-1| P: Actualizar la política de control de acceso, en el manual de políticas de seguridad y privacidad de la información y el ... (01/02/2023 - 31/03/2023)</t>
  </si>
  <si>
    <t xml:space="preserve">AICI202210-12-2</t>
  </si>
  <si>
    <t xml:space="preserve">AICI202210-12-2| P: Aprobar el manual de políticas de seguridad de la información (01/04/2023 - 30/04/2023)</t>
  </si>
  <si>
    <t xml:space="preserve">Falta de conocimiento de las políticas de seguridad de la información por parte de los funcionarios de la Sured Norte.</t>
  </si>
  <si>
    <t xml:space="preserve">AICI202210-12-3</t>
  </si>
  <si>
    <t xml:space="preserve">AICI202210-12-3| H: Formular herramienta para realizar el reporte oportuno de retiro de personal y su inactivación de los sistemas de información (01/05/2023 - 31/05/2023)</t>
  </si>
  <si>
    <t xml:space="preserve">Falla en el debido reporte por parte de los líderes de procesos de la entidad con la Oficina de Sistemas para realizar el reporte de los funcionarios que dejan la entidad para realizar el proceso de desvinculación e inactivación.</t>
  </si>
  <si>
    <t xml:space="preserve">AICI202210-12-4</t>
  </si>
  <si>
    <t xml:space="preserve">AICI202210-12-4| H: Socializar el manual de políticas de seguridad de la información y el instructivo de creación, modificación e inactivación de u (01/06/2023 - 30/06/2023)</t>
  </si>
  <si>
    <t xml:space="preserve">AICI202210-12-5</t>
  </si>
  <si>
    <t xml:space="preserve">AICI202210-12-5| H: Implementar la política de control de acceso de acuerdo las herramientas dispuestas por la subred. (01/07/2023 - 31/12/2023)</t>
  </si>
  <si>
    <t xml:space="preserve">AICI202210-12-6</t>
  </si>
  <si>
    <t xml:space="preserve">AICI202210-12-6| V: Realizar seguimiento semestral a la política de Control de acceso y al instructivo. (01/07/2023 - 31/12/2023)</t>
  </si>
  <si>
    <t xml:space="preserve">AICI202210-12-7</t>
  </si>
  <si>
    <t xml:space="preserve">AICI202210-12-7| A: Identificar oportunidades de mejora e implementarlas (01/09/2023 - 31/12/2023)</t>
  </si>
  <si>
    <t xml:space="preserve">AICI202210-13</t>
  </si>
  <si>
    <t xml:space="preserve">Desactualización de los procedimientos e inexistencia de esquemas de Backup sobre activos de información altamente críticos como son las bases de datos de sistemas en producción.</t>
  </si>
  <si>
    <t xml:space="preserve">Falta de recursos tecnológicos para la comprobación y restauración de copias de seguridad.</t>
  </si>
  <si>
    <t xml:space="preserve">AICI202210-13-1</t>
  </si>
  <si>
    <t xml:space="preserve">AICI202210-13-1| P: Analizar y presentar una propuesta a la alta dirección sobre las estrategias de respaldo de la información (01/01/2023 - 28/02/2023)</t>
  </si>
  <si>
    <t xml:space="preserve">Falta de documentación que permita realizar el debido procedimieto de Backups</t>
  </si>
  <si>
    <t xml:space="preserve">AICI202210-13-2</t>
  </si>
  <si>
    <t xml:space="preserve">AICI202210-13-2| H: Actualizar el Instructivo de generación y restauración de copias de seguridad (01/03/2023 - 30/04/2023)</t>
  </si>
  <si>
    <t xml:space="preserve">AICI202210-13-3</t>
  </si>
  <si>
    <t xml:space="preserve">AICI202210-13-3| V: Realizar seguimiento al cumplimiento del instructivo de copias de seguridad y su efectividad en la restauración (01/05/2023 - 31/12/2023)</t>
  </si>
  <si>
    <t xml:space="preserve">AICI202210-13-4</t>
  </si>
  <si>
    <t xml:space="preserve">AICI202210-13-4| A: Identificar oportunidades de mejora e implementarlas (01/06/2023 - 31/12/2023)</t>
  </si>
  <si>
    <t xml:space="preserve">AICI202210-14</t>
  </si>
  <si>
    <t xml:space="preserve">No se cuenta con un plan de concienciación enmarcado dentro de un proceso de mejora continua del SGSI, que dé cuenta del avance efectivo y de la importancia sobre la seguridad de la información en la Subred.</t>
  </si>
  <si>
    <t xml:space="preserve">Falta de recurso humano especializado para la implementación del Modelo de Seguridad de T.I en los procesos de gestión de la entidad.</t>
  </si>
  <si>
    <t xml:space="preserve">AICI202210-14-1</t>
  </si>
  <si>
    <t xml:space="preserve">AICI202210-14-1| P: Elaborar un plan de Capacitación y sensibilización de Seguridad y Privacidad de la Información (01/01/2023 - 28/02/2023)</t>
  </si>
  <si>
    <t xml:space="preserve">Falta de un plan de sensibilización en temas de seguridad y privacidad de la información</t>
  </si>
  <si>
    <t xml:space="preserve">AICI202210-14-2</t>
  </si>
  <si>
    <t xml:space="preserve">AICI202210-14-2| H: Ejecutar el plan de Capacitación y sensibilización de Seguridad y Privacidad de la Información (01/03/2023 - 31/12/2023)</t>
  </si>
  <si>
    <t xml:space="preserve">AICI202210-14-3</t>
  </si>
  <si>
    <t xml:space="preserve">AICI202210-14-3| V: Seguimiento y evaluación de las actividades propuestas en el plan de capacitación sensibilización de Seguridad y Privacidad ... (01/04/2023 - 31/12/2023)</t>
  </si>
  <si>
    <t xml:space="preserve">AICI202210-14-4</t>
  </si>
  <si>
    <t xml:space="preserve">AICI202210-14-4| A: Identificar oportunidades de mejora e implementarlas (01/05/2023 - 31/12/2023)</t>
  </si>
  <si>
    <t xml:space="preserve">AICI202210-15</t>
  </si>
  <si>
    <t xml:space="preserve">La mayoría de centros de cableado y cuartos de comunicaciones presentan riesgo de pérdida en la disponibilidad y confidencialidad de la información, toda vez que existen deficiencias en cuanto a su restricción de acceso, organización interna de los dispositivos, documentación, planos, certificación y demás condiciones físicas.</t>
  </si>
  <si>
    <t xml:space="preserve">Falta de recurso humano y económico que permita la adecuación y aseguramiento de los centros de cableado en las diferentes sedes de la Subred Norte.</t>
  </si>
  <si>
    <t xml:space="preserve">Oficina de Sistemas - TIC
Dirección Administrativa</t>
  </si>
  <si>
    <t xml:space="preserve">AICI202210-15-1</t>
  </si>
  <si>
    <t xml:space="preserve">AICI202210-15-1| P: Diseñar un plan de mantenimiento preventivo y correctivo a los centros de cableado y cuartos de comunicaciones, incluyendo ... (01/03/2023 - 30/04/2023)</t>
  </si>
  <si>
    <t xml:space="preserve">AICI202210-15-2</t>
  </si>
  <si>
    <t xml:space="preserve">AICI202210-15-2| H: Ejecutar el plan de mantenimiento preventivo y correctivo a los centros de cableado y cuartos de comunicaciones (01/05/2023 - 31/12/2023)</t>
  </si>
  <si>
    <t xml:space="preserve">AICI202210-15-3</t>
  </si>
  <si>
    <t xml:space="preserve">AICI202210-15-3| H: Gestionar medidas de seguridad y acceso a los cuartos de comunicaciones.  (01/05/2023 - 31/12/2023)</t>
  </si>
  <si>
    <t xml:space="preserve">AICI202210-15-4</t>
  </si>
  <si>
    <t xml:space="preserve">AICI202210-15-4| V: Realizar seguimiento al cumplimiento de plan de mantenimiento preventivo de a los centros de cableado y cuartos de comunicacion (01/06/2023 - 31/12/2023)</t>
  </si>
  <si>
    <t xml:space="preserve">AICI202210-15-5</t>
  </si>
  <si>
    <t xml:space="preserve">AICI202210-15-5| V: Realizar seguimiento a las adecuaciones físicas, medidas de seguridad y acceso a los cuartos de comunicaciones. (01/06/2023 - 31/12/2023)</t>
  </si>
  <si>
    <t xml:space="preserve">AICI202210-15-6</t>
  </si>
  <si>
    <t xml:space="preserve">AICI202210-15-6| A: Identificar oportunidades de mejora e implementarlas (01/06/2023 - 31/12/2023)</t>
  </si>
  <si>
    <t xml:space="preserve">AICI202211</t>
  </si>
  <si>
    <t xml:space="preserve">Transparencia y acceso a la información ITA</t>
  </si>
  <si>
    <t xml:space="preserve">AICI202211-1</t>
  </si>
  <si>
    <t xml:space="preserve">Cumplimiento parcial a los lineamientos del indice de transparecnia y acceso a la información publica Ley 1712 de 2014</t>
  </si>
  <si>
    <t xml:space="preserve">Inoportunidad en el seguimiento al cumplimiento de los lineamientos de la Ley de transparencia 1712 de 2014 y a la resolución 1519 de 2020.</t>
  </si>
  <si>
    <t xml:space="preserve">Oficina sistemas de información, Desarrollo Institucional</t>
  </si>
  <si>
    <t xml:space="preserve">AICI202211-1-1</t>
  </si>
  <si>
    <t xml:space="preserve">AICI202211-1-1| P: Realizar plan de trabajo conforme a los hallazgos generados en el informe de Control Interno (15/01/2023 - 30/01/2023)</t>
  </si>
  <si>
    <t xml:space="preserve">Oficina sistemas de información</t>
  </si>
  <si>
    <t xml:space="preserve">AICI202211-1-2</t>
  </si>
  <si>
    <t xml:space="preserve">AICI202211-1-2| H: Implementar el plan de trabajo (01/02/2023 - 15/08/2023)</t>
  </si>
  <si>
    <t xml:space="preserve">D</t>
  </si>
  <si>
    <t xml:space="preserve">AICI202211-1-3</t>
  </si>
  <si>
    <t xml:space="preserve">AICI202211-1-3| V: Hacer seguimiento al plan de trabajo (01/02/2023 - 15/08/2023)</t>
  </si>
  <si>
    <t xml:space="preserve">AICI202211-1-4</t>
  </si>
  <si>
    <t xml:space="preserve">AICI202211-1-4| A: Identificar oportunidades de mejora del plan de trabajo (01/03/2023 - 15/08/2023)</t>
  </si>
  <si>
    <t xml:space="preserve">AICI202212</t>
  </si>
  <si>
    <t xml:space="preserve">Servicios complementarios APH</t>
  </si>
  <si>
    <t xml:space="preserve">2.4. Servicios Complementarios</t>
  </si>
  <si>
    <t xml:space="preserve">AICI202212-1</t>
  </si>
  <si>
    <t xml:space="preserve">La Atención Prehospitalaria (APH), no se encuentra incluida en la Caracterización del Proceso de
Gestión de servicios Complementarios y no se tiene definido si es un proceso, un subproceso, un
procedimiento o una actividad.</t>
  </si>
  <si>
    <t xml:space="preserve">En la actualidad no se ha realizado la inclusion del sub proceso de APH en la caracterizacion del Proceso de gestion de urgencias, porque pese a que se paso a la Direccion en Agosto de 2022, no se habia realizado al ajuste institucional al mapa de procesos, porque solo hasta que se llevo al pleno del comite de gestion y desempeño institucional esta propuesta se definio la estructura de subprocesos porque solo hasta despues de la aprobacion en el comite de gestion y desempeño institucional, se dio linea desde la oficina de calidad  y se definio que APH es uno de los tres subprocesos de el proceso de gestion de urgencias</t>
  </si>
  <si>
    <t xml:space="preserve">Lider APH /Director de Urgencias</t>
  </si>
  <si>
    <t xml:space="preserve">AICI202212-1-1</t>
  </si>
  <si>
    <t xml:space="preserve">AICI202212-1-1| P: Diseñar y actualizar el procedimiento de atencion pre hospitalaria según los lineamientos de la oficina de calidad (01/01/2023 - 30/04/2023)</t>
  </si>
  <si>
    <t xml:space="preserve">Oficina asesora de Calidad / Normalizacion</t>
  </si>
  <si>
    <t xml:space="preserve">AICI202212-1-2</t>
  </si>
  <si>
    <t xml:space="preserve">AICI202212-1-2| H: Normalizar el documento para su publicacion institucional (30/04/2023 - 01/05/2023)</t>
  </si>
  <si>
    <t xml:space="preserve">AICI202212-1-3</t>
  </si>
  <si>
    <t xml:space="preserve">AICI202212-1-3| V: Verificar la inclusion del subproceso de APH en el proceso misional de Gestion de Urgencais en el mapa de procesos Institucional (01/05/2023 - 31/05/2023)</t>
  </si>
  <si>
    <t xml:space="preserve">AICI202212-1-4</t>
  </si>
  <si>
    <t xml:space="preserve">AICI202212-1-4| A: Socializar a los componentes de la organización la integracion de el subproceso APH en el proceso de Gestion de Urgencias (01/04/2023 - 30/04/2023)</t>
  </si>
  <si>
    <t xml:space="preserve">AICI202212-2</t>
  </si>
  <si>
    <t xml:space="preserve">Debilidades en la documentación del Proceso, no se tiene establecido un procedimiento formal para
Atención Pre Hospitalaria APH, que permita identificar las relaciones con otras áreas y
actividades, así como el flujo de información y los diferentes controles que se deben aplicar</t>
  </si>
  <si>
    <t xml:space="preserve">Se debe actualizar el procedimiento de atencion prehospitalaria porque el desconocimiento por parte de los líderes y de los directores de los procesos para incluir las actividades que se desarrollan en el área acausado que el procedimiento este desconectado de los procesos institucionales porque existen fallas de Planeación y definición de los servicios porque existen fallas en el autocontrol del área para realizar el seguimiento y la actualización de los documentos</t>
  </si>
  <si>
    <t xml:space="preserve">AICI202212-2-1</t>
  </si>
  <si>
    <t xml:space="preserve">AICI202212-2-1| P: Diseñar el procedimiento de atencion pre hospitalaria según los lineamientos de la oficina de calidad (01/01/2023 - 28/02/2023)</t>
  </si>
  <si>
    <t xml:space="preserve">AICI202212-2-2</t>
  </si>
  <si>
    <t xml:space="preserve">AICI202212-2-2| H: Normalizar el documento para su publicacion institucional (01/03/2023 - 31/03/2023)</t>
  </si>
  <si>
    <t xml:space="preserve">AICI202212-2-3</t>
  </si>
  <si>
    <t xml:space="preserve">AICI202212-2-3| V: Sensibilizar y capacitar al 100% del personal de APH sobre el procedimiento de atencion prehospitalaria (01/04/2023 - 30/04/2023)</t>
  </si>
  <si>
    <t xml:space="preserve">AICI202212-2-4</t>
  </si>
  <si>
    <t xml:space="preserve">AICI202212-2-4| A: Evaluar el conocimiento de los colaboradores de APH sobre el procedimiento de atencion prehospitalaria y tomar acciones … (01/05/2023 - 15/05/2023)</t>
  </si>
  <si>
    <t xml:space="preserve">AICI202212-3</t>
  </si>
  <si>
    <t xml:space="preserve">Deficiencias en el diseño y redacción de los controles definidos para la mitigación de los riesgos en el mapa de riesgos de la Subred, que están relacionados con la atención prehospitalaria y posibles actos de corrupción en el proceso.</t>
  </si>
  <si>
    <t xml:space="preserve">Se evidencio que el mapa de riesgos publicado en la página web, se encuentra desactualizado porque existen debilidades de integración entre las áreas de Desarrollo institucional y el proceso de APH porque No se incluyeron las actividades APH en el proceso de gestion de urgencias porque existen fallas en el autocontrol del área para realizar el seguimiento y la actualización de los documentos</t>
  </si>
  <si>
    <t xml:space="preserve">AICI202212-3-1</t>
  </si>
  <si>
    <t xml:space="preserve">AICI202212-3-1| P: Revisar y armonizar los riesgos administrativos del proceso de atencion prehospitalaria a la luz de la metodologia DAFP (01/01/2023 - 31/01/2023)</t>
  </si>
  <si>
    <t xml:space="preserve">AICI202212-3-2</t>
  </si>
  <si>
    <t xml:space="preserve">AICI202212-3-2| H: Actualizar el mapa de riesgo del proceso de atencion prehospitalaria en cuanto a riesgos de corrupcion (01/02/2023 - 28/02/2023)</t>
  </si>
  <si>
    <t xml:space="preserve">Oficina de Desarrolllo institucional</t>
  </si>
  <si>
    <t xml:space="preserve">AICI202212-3-3</t>
  </si>
  <si>
    <t xml:space="preserve">AICI202212-3-3| V: Solicitar la inclusion de la actualizacion del mapa de riesgos del proceso de APH en el mapa de riesgos institucional (01/03/2023 - 30/03/2023)</t>
  </si>
  <si>
    <t xml:space="preserve">Oficina de Desarrolllo institucional / direccion de urgencias</t>
  </si>
  <si>
    <t xml:space="preserve">AICI202212-3-4</t>
  </si>
  <si>
    <t xml:space="preserve">AICI202212-3-4| A: Hacer seguimiento al mapa de riesgo acorde a la mediciones definidas en la metodologia institucional (01/04/2023 - 31/12/2023)</t>
  </si>
  <si>
    <t xml:space="preserve">AICI202212-4</t>
  </si>
  <si>
    <t xml:space="preserve">Inconsistencias en la información entregada por parte del área de facturación, relacionada con los traslados realizados y la facturación correspondiente, lo cual podría dificultar el proceso de recaudo de los servicios prestados.</t>
  </si>
  <si>
    <t xml:space="preserve">Se evidencio que no se controla, ni se coordina la información con el área de facturación porque existen debilidades en el autocontrol de APH al no comparar lo ejecutado en el área contra lo facturado
porque existe desconocimiento de la productividad del área porque existe insuficiencia de personal para realizar verificaciones</t>
  </si>
  <si>
    <t xml:space="preserve">Lider APH /facturacion /mercadeo</t>
  </si>
  <si>
    <t xml:space="preserve">AICI202212-4-1</t>
  </si>
  <si>
    <t xml:space="preserve">AICI202212-4-1| P: Realizar mesa de trabajo con facturacion y mercadeo para identificar fallas en el proceso de verificacion y facturacion de servicios en cuanto a … (01/01/2023 - 31/01/2023)</t>
  </si>
  <si>
    <t xml:space="preserve">AICI202212-4-2</t>
  </si>
  <si>
    <t xml:space="preserve">AICI202212-4-2| H: Implementar las acciones de mejora definidas en la mesa de trabajo con facturacion y mercadeo (01/02/2023 - 28/02/2023)</t>
  </si>
  <si>
    <t xml:space="preserve">AICI202212-4-3</t>
  </si>
  <si>
    <t xml:space="preserve">AICI202212-4-3| V: Verificar el 100% de la facturacion de servicios de la unidad de APH en cada periodo (01/03/2023 - 30/03/2023)</t>
  </si>
  <si>
    <t xml:space="preserve">AICI202212-4-4</t>
  </si>
  <si>
    <t xml:space="preserve">AICI202212-4-4| A: Tomar acciones de mejora ante las desviaciones encontradas (01/04/2023 - 31/12/2023)</t>
  </si>
  <si>
    <t xml:space="preserve">AICI202213</t>
  </si>
  <si>
    <t xml:space="preserve">Gestión de talento humano</t>
  </si>
  <si>
    <t xml:space="preserve">AICI202213-1</t>
  </si>
  <si>
    <t xml:space="preserve">Debilidades en gestión del riesgo del proceso de Gestión de Talento Humano, en lo referente al análisis del riesgo, diseño de controles, formulación de indicadores - (versión 2, Código ES-GE-M-02-02. Subred Norte E.S.E)
</t>
  </si>
  <si>
    <t xml:space="preserve">No descrita</t>
  </si>
  <si>
    <t xml:space="preserve">Oficina de desarrollo institucional</t>
  </si>
  <si>
    <t xml:space="preserve">AICI202213-1-1</t>
  </si>
  <si>
    <t xml:space="preserve">AICI202213-1-1| Capacitar en Gestión del riesgo a los responsables del proceso de Gestión del Talento Humano, teniendo en cuenta la metodología … (01/12/2022 - 31/12/2023)</t>
  </si>
  <si>
    <t xml:space="preserve">Desarrollo Institucional y Dirección Gestion de Talento Humano</t>
  </si>
  <si>
    <t xml:space="preserve">AICI202213-1-2</t>
  </si>
  <si>
    <t xml:space="preserve">AICI202213-1-2| Actualizar la matriz de Gestión del riesgo en lo relacionado con el proceso de Gestión del Talento Humano, teniendo en cuenta la metodología… (01/12/2022 - 31/12/2023)</t>
  </si>
  <si>
    <t xml:space="preserve">AICI202213-1-3</t>
  </si>
  <si>
    <t xml:space="preserve">AICI202213-1-3| Reportar periódicamente los seguimientos a los posibles riesgos relacionados en los planes de mejora de la Dirección de Talento Humano. (01/03/2023 - 31/12/2023)</t>
  </si>
  <si>
    <t xml:space="preserve">AICI202213-1-4</t>
  </si>
  <si>
    <t xml:space="preserve">AICI202213-1-4| Socializar los resultados en el Comité de Gestión y desempeño y/o control Interno. (01/03/2023 - 31/12/2023)</t>
  </si>
  <si>
    <t xml:space="preserve">AICI202213-2</t>
  </si>
  <si>
    <t xml:space="preserve">Incumplimiento de la obligación de suministro de la dotación como una de las prestaciones sociales a cargo del empleador</t>
  </si>
  <si>
    <t xml:space="preserve">Dirección Gestion de Talento Humano</t>
  </si>
  <si>
    <t xml:space="preserve">AICI202213-2-1</t>
  </si>
  <si>
    <t xml:space="preserve">AICI202213-2-1| Definir los trabajadores oficiales y servidores públicos beneficiarias de la dotación (31/10/2022 - 31/01/2023)</t>
  </si>
  <si>
    <t xml:space="preserve">AICI202213-2-2</t>
  </si>
  <si>
    <t xml:space="preserve">AICI202213-2-2| Gestionar la contratación de la dotación requerida para el cumplimiento normativo de este beneficio. (31/10/2022 - 31/01/2023)</t>
  </si>
  <si>
    <t xml:space="preserve">AICI202213-2-3</t>
  </si>
  <si>
    <t xml:space="preserve">AICI202213-2-3| Realizar la gestión administrativa de ingreso y salida al almacén de las dotaciones contratadas. (31/10/2022 - 31/01/2023)</t>
  </si>
  <si>
    <t xml:space="preserve">AICI202213-2-4</t>
  </si>
  <si>
    <t xml:space="preserve">AICI202213-2-4| Realizar la entrega de la dotación contratada a los beneficiarios (31/10/2022 - 31/01/2023)</t>
  </si>
  <si>
    <t xml:space="preserve">AICI202213-3</t>
  </si>
  <si>
    <t xml:space="preserve">Incumplimiento de la normatividad en lo referente a la conservación del archivo de historias laborales.</t>
  </si>
  <si>
    <t xml:space="preserve">AICI202213-3-1</t>
  </si>
  <si>
    <t xml:space="preserve">AICI202213-3-1| Identificar la necesidad de insumos requeridos para la correcta disposición del archivo de Historias Laborales (01/01/2023 - 31/03/2023)</t>
  </si>
  <si>
    <t xml:space="preserve">AICI202213-3-2</t>
  </si>
  <si>
    <t xml:space="preserve">AICI202213-3-2| Solicitar insumos al área administrativa de acuerdo con la necesidad detectada. (01/01/2023 - 31/03/2023)</t>
  </si>
  <si>
    <t xml:space="preserve">AICI202213-3-3</t>
  </si>
  <si>
    <t xml:space="preserve">AICI202213-3-3| Realizar las acciones pertinentes encaminadas a la conservación de las hojas de vida según las normas vigentes. (01/02/2023 - 31/12/2023)</t>
  </si>
  <si>
    <t xml:space="preserve">AICI202213-3-4</t>
  </si>
  <si>
    <t xml:space="preserve">AICI202213-3-4| Presentar informes trimestrales de los avances alcanzados en el archivo de las hojas de vida a la Dirección de Talento Humano por parte del … (20/03/2023 - 31/12/2023)</t>
  </si>
  <si>
    <t xml:space="preserve">AICI202213-4</t>
  </si>
  <si>
    <t xml:space="preserve">Inadecuado seguimiento y monitoreo en el proceso de selección del talento humano en los contratos de prestación de servicios..
</t>
  </si>
  <si>
    <t xml:space="preserve">Dirección De contratación - Dirección Gestion de Talento Humano</t>
  </si>
  <si>
    <t xml:space="preserve">AICI202213-4-1</t>
  </si>
  <si>
    <t xml:space="preserve">AICI202213-4-1| Realizar y soportar la entrega del proceso Selección de OPS a la Dirección de Contratación… (01/11/2022 - 31/03/2023)</t>
  </si>
  <si>
    <t xml:space="preserve">AICI202213-5</t>
  </si>
  <si>
    <t xml:space="preserve">Incongruencia de registros de actividades Programadas entre los datos de la ficha del indicador y las estrategias en el documento publicado del plan de Bienestar social e incentivos 2022</t>
  </si>
  <si>
    <t xml:space="preserve">AICI202213-5-1</t>
  </si>
  <si>
    <t xml:space="preserve">AICI202213-5-1| Revisar las inconsistencias encontradas referidas en el hallazgo (01/11/2022 - 31/01/2023)</t>
  </si>
  <si>
    <t xml:space="preserve">AICI202213-5-2</t>
  </si>
  <si>
    <t xml:space="preserve">AICI202213-5-2| Ajustar el plan de acuerdo con el direccionamiento de gerencia y los lineamientos establecidos por la declaratoria de emergencia … (01/11/2022 - 31/01/2023)</t>
  </si>
  <si>
    <t xml:space="preserve">AICI202213-5-3</t>
  </si>
  <si>
    <t xml:space="preserve">AICI202213-5-3| Presentar informe de gestión del cumplimiento del plan de bienestar vigencia 2022 (01/11/2022 - 31/01/2023)</t>
  </si>
  <si>
    <t xml:space="preserve">AICI202213-5-4</t>
  </si>
  <si>
    <t xml:space="preserve">AICI202213-5-4| Publicar el informe de gestión del Talento Humano de la vigencia 2022 (01/11/2022 - 31/01/2023)</t>
  </si>
  <si>
    <t xml:space="preserve">AICI202213-6</t>
  </si>
  <si>
    <t xml:space="preserve">Debilidades en la normalización y actualización de los documentos del proceso de gestión del Talento Humano.
</t>
  </si>
  <si>
    <t xml:space="preserve">AICI202213-6-1</t>
  </si>
  <si>
    <t xml:space="preserve">AICI202213-6-1| Identificar los procedimientos requeridos para el cumplimiento de las metas estratégicas de la dirección de Gestión del Talento Humano (01/02/2023 - 31/12/2023)</t>
  </si>
  <si>
    <t xml:space="preserve">AICI202213-6-2</t>
  </si>
  <si>
    <t xml:space="preserve">AICI202213-6-2| Actualizar y/o elaborar los procedimientos requeridos para el cumplimiento de las metas estratégicas de la dirección de Gestión del Talento Humano (01/02/2023 - 31/12/2023)</t>
  </si>
  <si>
    <t xml:space="preserve">AICI202213-6-3</t>
  </si>
  <si>
    <t xml:space="preserve">AICI202213-6-3| Socializar los procedimientos actualizados y/o elaborados con los grupos de valor (01/06/2023 - 31/12/2023)</t>
  </si>
  <si>
    <t xml:space="preserve">AICI202213-6-4</t>
  </si>
  <si>
    <t xml:space="preserve">AICI202213-6-4| Implementar los procedimientos de la dirección de Gestión del Talento Humano (20/06/2023 - 31/12/2023)</t>
  </si>
  <si>
    <t xml:space="preserve">AICI202214</t>
  </si>
  <si>
    <t xml:space="preserve">Gestión PSPIC</t>
  </si>
  <si>
    <t xml:space="preserve">AICI202214-1</t>
  </si>
  <si>
    <t xml:space="preserve">Manejo de Recursos PSPIC: No se está dando cumplimiento a la resolución 518 de 2015 (Artículo 11. Responsabilidades. 11.4. DE LAS INSTITUCIONES CONTRATADAS PARA LA EJECUCIÓN DEL PIC. 11.4.9. “Manejar los recursos destinados para el PIC en una cuenta bancaria exclusiva hasta la firma de la liquidación del convenio o contrato, los recursos allí depositados sólo podrán ser utilizados para el pago de los bienes o servicios que se requieran para la ejecución de las intervenciones contratadas”.   Todo lo anterior es un requerimiento que está descrito en las cláusulas de los convenios auditados (ver Convenio 2985809-2021, cláusula 8, numerales 14 y 15. Pág. 13 del convenio y convenio 3746169 cláusula 8 numeral 10 pág. 18) y también se contemplan en el convenio que se encuentre en ejecución, ver convenio 3998861-2022 cláusula 8 numeral 11 pág. 18 . "Lo anterior se evidencia en..."</t>
  </si>
  <si>
    <t xml:space="preserve">No planeacion y distribución de los recursos para la ejecución del PSPIC a inicio de los convenios</t>
  </si>
  <si>
    <t xml:space="preserve">Dra. Luz Miriam Roncancio
Dir. Financiera </t>
  </si>
  <si>
    <t xml:space="preserve">AICI202214-1-1</t>
  </si>
  <si>
    <t xml:space="preserve">AICI202214-1-1| Solicitar a la Contaduria General de concepto contable frente al manejo de los recursos de los convenios de la Subred (06/06/2023 - 30/06/2023)</t>
  </si>
  <si>
    <t xml:space="preserve">Idem anterior</t>
  </si>
  <si>
    <t xml:space="preserve">idem anterior</t>
  </si>
  <si>
    <t xml:space="preserve">Dra. Paola Torres
Coordinadora del PSPIC</t>
  </si>
  <si>
    <t xml:space="preserve">AICI202214-1-2</t>
  </si>
  <si>
    <t xml:space="preserve">AICI202214-1-2| Implementar la Matriz de insumos donde se evidencie el consumo y gasto de bienes y servicios a los conceptos contratados para el PSPIC (30/08/2023 - 30/11/2023)</t>
  </si>
  <si>
    <t xml:space="preserve">AICI202214-1-3</t>
  </si>
  <si>
    <t xml:space="preserve">AICI202214-1-3| Seguimiento a la Matriz de insumos donde se evidencie el consumo y gasto de bienes y servicios a los conceptos contratados para el PSPIC (30/08/2023 - 30/11/2023)</t>
  </si>
  <si>
    <t xml:space="preserve">AICI202214-1-4</t>
  </si>
  <si>
    <t xml:space="preserve">AICI202214-1-4| Generar acciones frente a las desviaciones presentadas (30/08/2023 - 30/11/2023)</t>
  </si>
  <si>
    <t xml:space="preserve">AICI202214-2</t>
  </si>
  <si>
    <t xml:space="preserve">Planeación de Actividades PSPIC: Frente al tema de planeación no se evidencia un procedimiento de planeación financiera, de adquisición de bienes y servicios para el PSPIC y de contratación de talento humano articulado que incorpore el trabajo de planeacion realizado por la dirección de gestión de riesgo en salud y las planeación y decisiones derivadas de dicho proceso por parte de otras direcciones de la Subred</t>
  </si>
  <si>
    <t xml:space="preserve">Ausencia del procedimiento de la planeacion financiera de los recursos del PSPIC</t>
  </si>
  <si>
    <t xml:space="preserve">AICI202214-2-1</t>
  </si>
  <si>
    <t xml:space="preserve">AICI202214-2-1| Elaborar el procedimiento de planeación de los recursos que permitan para la ejecución del convenio PSPIC (bienes y servicios, talento humano (01/05/2023 - 23/05/2023)</t>
  </si>
  <si>
    <t xml:space="preserve">Dra. Paola Torres
Coordinadora del PSPIC
</t>
  </si>
  <si>
    <t xml:space="preserve">AICI202214-2-2</t>
  </si>
  <si>
    <t xml:space="preserve">AICI202214-2-2| Socializar el procedimiento de planeación de los recursos que permitan para la ejecución del convenio PSPIC entre el area de contratación ... (15/05/2023 - 30/08/2023)</t>
  </si>
  <si>
    <t xml:space="preserve">AICI202214-2-3</t>
  </si>
  <si>
    <t xml:space="preserve">AICI202214-2-3| Realizar medición de la adherencia mediante la aplicacion de prestest y postest, de la socializacion del procedimiento de planeación... (15/05/2023 - 30/08/2023)</t>
  </si>
  <si>
    <t xml:space="preserve">AICI202214-2-4</t>
  </si>
  <si>
    <t xml:space="preserve">AICI202214-2-4| Generar acciones frente a las desviaciones presentadas (15/05/2023 - 30/08/2023)</t>
  </si>
  <si>
    <t xml:space="preserve">AICI202214-3</t>
  </si>
  <si>
    <t xml:space="preserve">Actualización de procesos y Procedimientos: Los subprocesos de la dirección de Gestion del Riesgo en Salud no se encuentran documentados y actualizados en link de mapa de procesos de Almera, ello impide que el talento humano relacionado con el desarrollo de las actividades de la dirección cuente con lineamientos institucionales definidos para la realización de sus actividades. Los procedimientos en control documental tienen vigencia 2017</t>
  </si>
  <si>
    <t xml:space="preserve">Procedimientos y subprocesos de la direccion de gestión del riesgo desactualizados, por lo que no son conocidos por el talento humano</t>
  </si>
  <si>
    <t xml:space="preserve">Dra. Sandra Bocarejo
Dir. Gestion del Riesgo</t>
  </si>
  <si>
    <t xml:space="preserve">AICI202214-3-1</t>
  </si>
  <si>
    <t xml:space="preserve">AICI202214-3-1| Actualizar los subprocesos y procedimientos de la direccion de gestion de riesgo (01/05/2023 - 20/06/2023)</t>
  </si>
  <si>
    <t xml:space="preserve">AICI202214-3-2</t>
  </si>
  <si>
    <t xml:space="preserve">AICI202214-3-2| Realizar socialización de los subprocesos y procedimientos actualizados (01/06/2023 - 31/07/2023)</t>
  </si>
  <si>
    <t xml:space="preserve">AICI202214-3-3</t>
  </si>
  <si>
    <t xml:space="preserve">AICI202214-3-3| Medir la apropiación del conocimiento a través de pretest y postest (01/06/2023 - 31/07/2023)</t>
  </si>
  <si>
    <t xml:space="preserve">AICI202214-3-4</t>
  </si>
  <si>
    <t xml:space="preserve">AICI202214-3-4| Realizar acciones de mejora de acuerdo a las desviaciones encontradas (01/08/2023 - 31/07/2023)</t>
  </si>
  <si>
    <t xml:space="preserve">AICI202214-4</t>
  </si>
  <si>
    <t xml:space="preserve">Inconsistencias en los informes de ejecución presentado a SDS : Se evidenciaron inconsistencias en la redacción y presentación de los informes entregados a la SDS como soporte de la ejecución de actividades de los convenios interadministrativos del PIC suscritos.</t>
  </si>
  <si>
    <t xml:space="preserve">Falta de revisión y retroalimentación en los informes presentados a Secretaria Distrital de Salud</t>
  </si>
  <si>
    <t xml:space="preserve">AICI202214-4-1</t>
  </si>
  <si>
    <t xml:space="preserve">AICI202214-4-1| Enviar la estructura estandarizada por SDS para el informe final con el fin de disminuir la ocurrencia de errores de redacción y ... (01/03/2023 - 30/03/2023)</t>
  </si>
  <si>
    <t xml:space="preserve">AICI202214-4-2</t>
  </si>
  <si>
    <t xml:space="preserve">AICI202214-4-2| Socializar las observaciones de SDS del informe final del PSPIC (01/03/2023 - 30/03/2023)</t>
  </si>
  <si>
    <t xml:space="preserve">AICI202214-4-3</t>
  </si>
  <si>
    <t xml:space="preserve">AICI202214-4-3| Radicacion de informe a SDS ajustado (01/05/2023 - 31/05/2023)</t>
  </si>
  <si>
    <t xml:space="preserve">AICI202214-4-4</t>
  </si>
  <si>
    <t xml:space="preserve">AICI202214-4-4| Realizar las acciones de mejora frente a las desviaciones presentadas (01/05/2023 - 31/05/2023)</t>
  </si>
  <si>
    <t xml:space="preserve">AICI202214-5</t>
  </si>
  <si>
    <t xml:space="preserve">Ejecución PIC: Se evidenciaron falencias en la contratación de talento humano y en el suministro de tecnólogia e insumos requeridos para ejecutar las actividades del PSPIC- GSP, lo anterior no solo incumple las clausulas establecidas en los convenios interadministrativos (2985809-2021, clausula 8, numerales 14 y 15. pág 13 del convenio y convenio 3746169-2022, clausula 8, numeral 10, pág 18 y también se contemplan en el convenio que se encuentra en ejecución, ver convenio 3998861-2022 clausula 8 numeral 8, pági 18) sino tambien genera incumplimento en la resolucion 518-2015 articulo 11, responsabilidades 11.4 de las instituciones contratadas para la ejecución del PIC. 11.4.9 "Manejar los recursos destinados del PIC manejar una cuenta bancaria exclusiva hasta la firma de la liquidación del convenio o contrato, los recursos allí depositados solo podran ser utilizados para el pago de los bienes y servicios ques se requieran para la ejecución de la intervenciones contratadas". Numeral 11.4.2 "Garantizar la disponibilidad o vinculación de la totalidad del exigido por la entidad territorial en el tiempo acordado y según lo previsto (...) para la ejecución de las intervenciones contratadas"</t>
  </si>
  <si>
    <t xml:space="preserve">Debilidad en la planeación de la contratación del talento humano, insumos y suministros tecnologicos  para  ejecucion del convenio PSPIC</t>
  </si>
  <si>
    <t xml:space="preserve">AICI202214-5-1</t>
  </si>
  <si>
    <t xml:space="preserve">AICI202214-5-1| Programar mesas de trabajo entre la dirección de contratación y la dirección de Gestión del Riesgo que permitan evidenciar la planeación de los ... (01/04/2023 - 30/08/2023)</t>
  </si>
  <si>
    <t xml:space="preserve">AICI202214-5-2</t>
  </si>
  <si>
    <t xml:space="preserve">AICI202214-5-2| Gestionar con la Oficina de TICS para la necesidad de insumos tecnologicos que permitan el cumplimiento de las actividades del PSPIC (25/01/2023 - 30/08/2023)</t>
  </si>
  <si>
    <t xml:space="preserve">AICI202214-5-3</t>
  </si>
  <si>
    <t xml:space="preserve">AICI202214-5-3| Realizar seguimiento a las contrataciones realizadas en cumplimiento del convenio para las acciones del PIC,... (25/01/2023 - 30/08/2023)</t>
  </si>
  <si>
    <t xml:space="preserve">AICI202214-5-4</t>
  </si>
  <si>
    <t xml:space="preserve">AICI202214-5-4| Generar acciones de mejora de acuerdo a las desviaciones encontradas en la contratación del talento humano, insumos ... (25/01/2023 - 30/08/2023)</t>
  </si>
  <si>
    <t xml:space="preserve">AICI202214-6</t>
  </si>
  <si>
    <t xml:space="preserve">Debilidades en la formulación de riesgos en el proceso PSPIC:  Deficiencias metodológicas en la identificación, el analisis causal, el diseño de los controles, la definicón de evidencias, indicadores y metas, al igual que en la implementación de dichos controles y su seguimeinto. Adicionalmente el mapa de riesgos se encuentra desactualizado y no contempla posibles riesgos por actos de corrupción asociados al PSPIC y la GSA</t>
  </si>
  <si>
    <t xml:space="preserve">Debilidades en la formulación del mapa de riesgos</t>
  </si>
  <si>
    <t xml:space="preserve">AICI202214-6-1</t>
  </si>
  <si>
    <t xml:space="preserve">AICI202214-6-1| Realizar actualización del mapa de riesgos institucional en conjunto con la oficina de Desarrollo Institucional (25/01/2023 - 30/04/2023)</t>
  </si>
  <si>
    <t xml:space="preserve">AICI202214-6-2</t>
  </si>
  <si>
    <t xml:space="preserve">AICI202214-6-2| Socializar el mapa de riesgos actualizado al talento humano de los diferentes entornos y transversalidades (01/06/2023 - 30/07/2023)</t>
  </si>
  <si>
    <t xml:space="preserve">AICI202214-6-3</t>
  </si>
  <si>
    <t xml:space="preserve">AICI202214-6-3| Realizar medicion de la apropiacion al talento humano de los diferentes entornos y transversalidades (01/06/2023 - 30/07/2023)</t>
  </si>
  <si>
    <t xml:space="preserve">AICI202214-6-4</t>
  </si>
  <si>
    <t xml:space="preserve">AICI202214-6-4| Generar acciones frente desviaciones encontradas (01/06/2023 - 30/07/2023)</t>
  </si>
  <si>
    <t xml:space="preserve">AICI202214-7</t>
  </si>
  <si>
    <t xml:space="preserve">Debilidades en la seguridad de la información: No se cuenta con una heramienta que permita almacenar y guardar los back up de la información de los convenios y soportes de las actividades de los diferentes entornos. Se maneja información en los computadores portatiles 
</t>
  </si>
  <si>
    <t xml:space="preserve">Falta de capacidad de almacenamiento en los correos institucionales para realizar los backup de la informacion</t>
  </si>
  <si>
    <t xml:space="preserve">
Dra. Sandra Bocarejo 
Directora Gestión del Riesgo en salud
</t>
  </si>
  <si>
    <t xml:space="preserve">AICI202214-7-1</t>
  </si>
  <si>
    <t xml:space="preserve">AICI202214-7-1| Solicitar al area de TIC´s la ampliación de la capacidad de memoria de los correos institucionales a fin realizar backup y almacenar la ... (01/03/2023 - 30/06/2023)</t>
  </si>
  <si>
    <t xml:space="preserve">AICI202214-7-2</t>
  </si>
  <si>
    <t xml:space="preserve">AICI202214-7-2| Realizar el seguimiento al uso del correo institucional con el fin de contar con una herramienta informatica que permita el almacenamiento en linea. (01/06/2023 - 30/08/2023)</t>
  </si>
  <si>
    <t xml:space="preserve">AICI202214-7-3</t>
  </si>
  <si>
    <t xml:space="preserve">AICI202214-7-3| Realizacion de backup para el almacenamiento y custodia de la información (01/07/2023 - 30/09/2023)</t>
  </si>
  <si>
    <t xml:space="preserve">AICI202215</t>
  </si>
  <si>
    <t xml:space="preserve">Proyectos de Inversión de Infraestructura</t>
  </si>
  <si>
    <t xml:space="preserve">AICI202215-1</t>
  </si>
  <si>
    <t xml:space="preserve">1. Evaluar los controles establecidos para los riesgos de los proyectos de infraestructura en lo que tienen que ver con la periodicidad y acciones a seguir con las desviaciones que se puedan presentar en la ejecución de los mismos.
</t>
  </si>
  <si>
    <t xml:space="preserve">Debilidad en el seguimiento a controles establecidos para los riesgos de los proyectos de infraestructura</t>
  </si>
  <si>
    <t xml:space="preserve">Nohemí Congo lino</t>
  </si>
  <si>
    <t xml:space="preserve">AICI202215-1-1</t>
  </si>
  <si>
    <t xml:space="preserve">AICI202215-1-1| Realizar informe de ejecución a los proyectos de inversión de infraestructura (01/03/2023 - 30/07/2023)</t>
  </si>
  <si>
    <t xml:space="preserve">Alta rotación del personal</t>
  </si>
  <si>
    <t xml:space="preserve">Nohemí Congolino</t>
  </si>
  <si>
    <t xml:space="preserve">AICI202215-1-2</t>
  </si>
  <si>
    <t xml:space="preserve">AICI202215-1-2| Realizar seguimiento a la ejecución de los proyectos de inversión, durante las reuniones del comité de infraestructura y mantenimiento (01/03/2023 - 30/07/2023)</t>
  </si>
  <si>
    <t xml:space="preserve">AICI202215-2</t>
  </si>
  <si>
    <t xml:space="preserve">2. Verificar permanentemente que el porcentaje de ejecución de la obra, corresponda con la programación, con el fin de adoptar en forma oportuna los planes de contingencia necesarios.</t>
  </si>
  <si>
    <t xml:space="preserve">Error en la programación del cronograma de ejecución del contrato.</t>
  </si>
  <si>
    <t xml:space="preserve">Carlos Zamudio - Consuelo Ospina</t>
  </si>
  <si>
    <t xml:space="preserve">AICI202215-2-1</t>
  </si>
  <si>
    <t xml:space="preserve">AICI202215-2-1| Realizar comités de seguimiento a la ejecución de los contratos (01/03/2023 - 30/07/2023)</t>
  </si>
  <si>
    <t xml:space="preserve">AICI202215-2-2</t>
  </si>
  <si>
    <t xml:space="preserve">AICI202215-2-2| Solicitar a la interventoría informe de ejecución de la obra (01/03/2023 - 30/07/2023)</t>
  </si>
  <si>
    <t xml:space="preserve">AICI202215-2-3</t>
  </si>
  <si>
    <t xml:space="preserve">AICI202215-2-3| Generar acciones de contingencia de acuerdo a las desviaciones identificadas en el informe, según porcentaje de ejecución … (01/03/2023 - 30/07/2023)</t>
  </si>
  <si>
    <t xml:space="preserve">AICI202215-3</t>
  </si>
  <si>
    <t xml:space="preserve">3. Se recomienda nuevamente la aprobación y adopción de los procesos y procedimientos para la formulación, presentación, aprobación y ejecución de los Planes Bienales de Inversiones Públicas en Salud que contenga los proyectos de infraestructura y dotación de la Subred Integrada de Servicios de Salud Norte E.S.E.
5. Establecer un manual de procesos y procedimientos para proyectos de  infraestructura que incluya los controles en la expedición de licencias y concepto de usos de suelo comerciales, así como reglamentar e implementar el proceso de archivo de los documentos expedidos para facilitar su eventual consulta.</t>
  </si>
  <si>
    <t xml:space="preserve">Desactualización del procedimiento para la gestión de convenios y proyectos.</t>
  </si>
  <si>
    <t xml:space="preserve">Carlos Zamudio - Víctor Balaguera 
Alexis Riscanevo</t>
  </si>
  <si>
    <t xml:space="preserve">AICI202215-3-1</t>
  </si>
  <si>
    <t xml:space="preserve">AICI202215-3-1| Actualizar y socializar al equipo de infraestructura el procedimiento para la gestión de convenios y proyectos de infraestructura y … (01/02/2023 - 30/07/2023)</t>
  </si>
  <si>
    <t xml:space="preserve">No se cuenta con el manual de gestión de proyectos que incluya los controles para el cumplimiento de las exigencias normativas y conexiones de servicios públicos.</t>
  </si>
  <si>
    <t xml:space="preserve">AICI202215-3-2</t>
  </si>
  <si>
    <t xml:space="preserve">AICI202215-3-2| Elaborar el manual para la gestión de convenios y proyectos de infraestructura y dotación en salud para la Subred Norte ESE, y … (01/04/2023 - 30/10/2023)</t>
  </si>
  <si>
    <t xml:space="preserve">AICI202215-4</t>
  </si>
  <si>
    <t xml:space="preserve">4. Socializar y capacitar a los servidores del área de los proyectos de inversión de infraestructura, en el control de documentación y de riesgos de acuerdo a la normatividad vigente.
6. Adelantar jornadas de capacitación al personal encargado, en temas de manejo documental y ley de archivo, con el propósito de garantizar la organización documental y la conservación de expedientes de los proyectos de inversión de infraestructura (Ley 594 de 2000 y demás normas reglamentarias).</t>
  </si>
  <si>
    <t xml:space="preserve">Desconocimiento del proceso de organización y archivo documental</t>
  </si>
  <si>
    <t xml:space="preserve">Carlos Zamudio
Victor Balaguera 
Nohemy Congolino </t>
  </si>
  <si>
    <t xml:space="preserve">AICI202215-4-1</t>
  </si>
  <si>
    <t xml:space="preserve">AICI202215-4-1| Programar y realizar capacitaciones sobre el manejo y la organización de archivo documental del área (01/02/2023 - 30/07/2023)</t>
  </si>
  <si>
    <t xml:space="preserve">Alta rotación del personal que conforma el equipos de trabajo para  proyectos de infraestructura de la oficina de Desarrollo Institucional</t>
  </si>
  <si>
    <t xml:space="preserve">Claudia Liliana Moreno
Victor Balaguera
Equipo de Infraestructura</t>
  </si>
  <si>
    <t xml:space="preserve">AICI202215-4-2</t>
  </si>
  <si>
    <t xml:space="preserve">AICI202215-4-2| Elaborar y ejecutar un plan de trabajo para intervención del fondo documental sobre convenios y proyectos de infraestructura. (01/04/2023 - 30/11/2023)</t>
  </si>
  <si>
    <t xml:space="preserve">AICI202215-5</t>
  </si>
  <si>
    <t xml:space="preserve">7. Cumplir la normatividad relacionada con la solicitud de prórroga de la licencia constructiva, notificando en forma oportuna al curador urbano o la autoridad municipal o distrital sobre los profesionales que se desvinculen de la ejecución de los diseños o de la ejecución de la obra de conformidad con lo establecido en el Artículo 2.2.6.1.2.2.1 del Decreto 1077 de 2015, que reglamentó el Decreto 1469 de 2010 y demás normas vigentes.</t>
  </si>
  <si>
    <t xml:space="preserve">Falta de seguimiento a los tiempos de vencimiento de las licencias de construcción</t>
  </si>
  <si>
    <t xml:space="preserve">Claudia Liliana Moreno
Carlos Zamudio 
Equipo de Infraestructura</t>
  </si>
  <si>
    <t xml:space="preserve">AICI202215-5-1</t>
  </si>
  <si>
    <t xml:space="preserve">AICI202215-5-1| Elaborar el manual para la gestión de convenios y proyectos de infraestructura y dotación en salud para la Subred Norte ESE (01/03/2023 - 30/11/2023)</t>
  </si>
  <si>
    <t xml:space="preserve">Inoportunidad en la notificación al curador</t>
  </si>
  <si>
    <t xml:space="preserve">AICI202215-5-2</t>
  </si>
  <si>
    <t xml:space="preserve">AICI202215-5-2| Realizar seguimiento a los tiempos de vencimiento de las licencias a través de una matriz de control de licencias de construcción. (01/03/2023 - 30/11/2023)</t>
  </si>
  <si>
    <t xml:space="preserve">Ausencia de manual interno, para la gestión de proyectos que incluya el trámite de las licencias</t>
  </si>
  <si>
    <t xml:space="preserve">AICI202215-5-3</t>
  </si>
  <si>
    <t xml:space="preserve">AICI202215-5-3| Notificar a la curaduría urbana sobre cambios en responsables de obra. (01/03/2023 - 30/11/2023)</t>
  </si>
  <si>
    <t xml:space="preserve">AICI202215-6</t>
  </si>
  <si>
    <t xml:space="preserve">8) Verificar que los informes enviados a SDS tengan una revisión preliminar con el fin de garantizar que la información reportada en cada uno de ellos cumplan con las condiciones de calidad y de esta manera evitar reprocesos.</t>
  </si>
  <si>
    <t xml:space="preserve">Envío de informes sin la suficiente revisión por parte del personal responsable de los mismos.</t>
  </si>
  <si>
    <t xml:space="preserve">Carlos Zamudio 
Equipo de Infraestructura</t>
  </si>
  <si>
    <t xml:space="preserve">AICI202215-6-1</t>
  </si>
  <si>
    <t xml:space="preserve">AICI202215-6-1| Elaboración o consolidación de informes por parte de un referente para su elaboración (01/03/2023 - 30/09/2023)</t>
  </si>
  <si>
    <t xml:space="preserve">Informes con alguna información carente de los atributos de calidad en  contenido.</t>
  </si>
  <si>
    <t xml:space="preserve">Equipo de Infraestructura</t>
  </si>
  <si>
    <t xml:space="preserve">AICI202215-6-2</t>
  </si>
  <si>
    <t xml:space="preserve">AICI202215-6-2| Validar previamente con visto bueno de cada uno de los profesionales intervinientes en la elaboración del documento. (01/03/2023 - 30/09/2023)</t>
  </si>
  <si>
    <t xml:space="preserve">Devolución de informes u observaciones sobre algunos de ellos por parte de la SDS</t>
  </si>
  <si>
    <t xml:space="preserve">Claudia Liliana Moreno</t>
  </si>
  <si>
    <t xml:space="preserve">AICI202215-6-3</t>
  </si>
  <si>
    <t xml:space="preserve">AICI202215-6-3| Revisar previamente los informes enviados a SDS por parte del jefe del área. (01/03/2023 - 30/11/2023)</t>
  </si>
  <si>
    <t xml:space="preserve">AICI202215-7</t>
  </si>
  <si>
    <t xml:space="preserve">9) Constatar que la información que se encuentra cargada en el Drive de una cuenta de correo electrónico particular, se guarde en una carpeta corporativa o servidor de la Subred Norte ESE, igualmente realizar el back up correspondiente a la información consolidada en este drive para evitar la pérdida de información.
</t>
  </si>
  <si>
    <t xml:space="preserve">La información generada por el área se esta guardando en una cuenta de correo electrónico particular.</t>
  </si>
  <si>
    <t xml:space="preserve">Johanna Nuñez
Johanna Triana
Victor Balaguera 
Equipo de infraestructura</t>
  </si>
  <si>
    <t xml:space="preserve">AICI202215-7-1</t>
  </si>
  <si>
    <t xml:space="preserve">AICI202215-7-1| Crear un drive en un servidor de la Subred para el almacenamiento de la información de los convenios y proyectos de infraestructura. (01/03/2023 - 30/11/2023)</t>
  </si>
  <si>
    <t xml:space="preserve">No se están generando Backup para evitar la perdida de información.</t>
  </si>
  <si>
    <t xml:space="preserve">AICI202215-7-2</t>
  </si>
  <si>
    <t xml:space="preserve">AICI202215-7-2| Solicitar al área de sistemas la realización de Backup periódico a fin de evitar pérdidas de información. (01/03/2023 - 30/11/2023)</t>
  </si>
  <si>
    <t xml:space="preserve">Limitada capacidad de almacenamiento en el drive.</t>
  </si>
  <si>
    <t xml:space="preserve">AICI202215-7-3</t>
  </si>
  <si>
    <t xml:space="preserve">AICI202215-7-3| Asegurar que la información generada para la ejecución de convenios y proyectos este guardada en carpetas en el drive con accesibilidad.. (01/03/2023 - 30/11/2023)</t>
  </si>
  <si>
    <t xml:space="preserve">AICI202301</t>
  </si>
  <si>
    <t xml:space="preserve">Gestión Contractual - 2023</t>
  </si>
  <si>
    <t xml:space="preserve">3.4. Gestión de Contratación</t>
  </si>
  <si>
    <t xml:space="preserve">AICI202301-1</t>
  </si>
  <si>
    <t xml:space="preserve">Debilidad en el desarrollo de la supervisión y cargue de los documentos contractuales en la plataforma SECOP II</t>
  </si>
  <si>
    <t xml:space="preserve">Que no se pueda realizar un seguimiento a la ejecución del contrato por no contar con la información en el expediente en el documento contractual. 
</t>
  </si>
  <si>
    <t xml:space="preserve">Director de contratación</t>
  </si>
  <si>
    <t xml:space="preserve">AICI202301-1-1</t>
  </si>
  <si>
    <t xml:space="preserve">AICI202301-1-1| En el Plan de capacitaciones a supervisores para la vigencia 2023 se tiene establecido recordar a los contratistas el proceso  de registro ... (23/05/2023 - 30/06/2023)</t>
  </si>
  <si>
    <t xml:space="preserve">AICI202301-1-2</t>
  </si>
  <si>
    <t xml:space="preserve">AICI202301-1-2| Realizar capacitaciones a los supervisores en cuanto al proceso de contratacion. (23/05/2023 - 30/12/2023)</t>
  </si>
  <si>
    <t xml:space="preserve">Profesional universitario</t>
  </si>
  <si>
    <t xml:space="preserve">AICI202301-1-3</t>
  </si>
  <si>
    <t xml:space="preserve">AICI202301-1-3| Evaluar la adherencia del conocimiento a los supervisores con ayuda de la plataforma Moddle. (01/06/2023 - 30/12/2023)</t>
  </si>
  <si>
    <t xml:space="preserve">AICI202301-1-4</t>
  </si>
  <si>
    <t xml:space="preserve">AICI202301-1-4| Si las calificaciones obtenidas no son satisfactorias se programarán nuevas capacitaciones. (01/07/2023 - 30/12/2023)</t>
  </si>
  <si>
    <t xml:space="preserve">AICI202301-2</t>
  </si>
  <si>
    <t xml:space="preserve">Incumplimiento de los lineamientos en cuanto al manejo del archivo físico de Gestión Documental</t>
  </si>
  <si>
    <t xml:space="preserve">No. de carpetas asignado sea inferior al requerimiento no sea sufienciente para cumplir con todos los contratos</t>
  </si>
  <si>
    <t xml:space="preserve">Direccion de contratacion</t>
  </si>
  <si>
    <t xml:space="preserve">AICI202301-2-1</t>
  </si>
  <si>
    <t xml:space="preserve">AICI202301-2-1| Realizar el proceso de contratación de bienes necesarios para dar cumplimiento al manejo del archivo fisico de gestión documental. (23/05/2023 - 30/06/2023)</t>
  </si>
  <si>
    <t xml:space="preserve">AICI202301-2-2</t>
  </si>
  <si>
    <t xml:space="preserve">AICI202301-2-2| Asignar los insumos necesarios para el cumplimiento de las actividades de archivo de documentos del proceso contractual, como son carpetas,... (30/06/2023 - 30/07/2023)</t>
  </si>
  <si>
    <t xml:space="preserve">AICI202301-2-3</t>
  </si>
  <si>
    <t xml:space="preserve">AICI202301-2-3| Hacer seguimiento al proceso de archivo de expedientes, gestionar la entrega de insumos necesarios para el cumplimiento de las normas de archivo. (23/05/2023 - 30/12/2023)</t>
  </si>
  <si>
    <t xml:space="preserve">PM38_2023 AUDITORIA DE CONTROL INTERNO AL PROCESO GESTIÓN FINANCIERA PERIODO AUDITADO JUL-DIC 2021</t>
  </si>
  <si>
    <t xml:space="preserve">Almera</t>
  </si>
  <si>
    <t xml:space="preserve">480-1</t>
  </si>
  <si>
    <t xml:space="preserve">Debilidades en gestión de los riesgos del proceso de Gestión Financiera en lo referente a análisis del riesgo, diseño de controles, y retroalimentación al líder del proceso. No se encontró coincidencia entre el mapa de riesgos publicados en la página WEB de la entidad, link de transparencia y el suministrado por la oficina de Desarrollo Institucional y la Dirección Financiera</t>
  </si>
  <si>
    <t xml:space="preserve">Carlos Alberto Riveros Manrique, LUZ MYRIAM RONCANCIO RONCANCIO, Mauricio Alejandro Rodríguez Tovar</t>
  </si>
  <si>
    <t xml:space="preserve">480-1-1</t>
  </si>
  <si>
    <t xml:space="preserve">480-1-1| Actualizar el mapa de riesgos de la Dirección Financiera en la vigencia 2023. (01/11/2022 - (30/09/2023)</t>
  </si>
  <si>
    <t xml:space="preserve">480-2</t>
  </si>
  <si>
    <t xml:space="preserve">Diferencia entre los saldos a liberar y las solicitudes de liberación</t>
  </si>
  <si>
    <t xml:space="preserve">Carlos Alberto Riveros Manrique, FERNANDO IVAN MORALES MARTINEZ, LUZ MYRIAM RONCANCIO RONCANCIO</t>
  </si>
  <si>
    <t xml:space="preserve">480-2-2</t>
  </si>
  <si>
    <t xml:space="preserve">480-2-2| Socializar la Resolución DDC-002 de 2022 por medio de la cual se adopta el Manual para el manejo y control contable de las cajas menores, expedido por el Contador General de Bogotá D.C. (01/11/2022 - (30/09/2023)</t>
  </si>
  <si>
    <t xml:space="preserve">480-3</t>
  </si>
  <si>
    <t xml:space="preserve">Debilidad en el reconocimiento contable de los embargos judiciales.</t>
  </si>
  <si>
    <t xml:space="preserve">480-3-3</t>
  </si>
  <si>
    <t xml:space="preserve">480-3-3| Aplicación del Manual de Caja Menor adoptado mediante Resolución DCC-002 de 2022 de la Contadora General de Bogotá D.C. (01/10/2022 - (30/09/2023)</t>
  </si>
  <si>
    <t xml:space="preserve">480-4</t>
  </si>
  <si>
    <t xml:space="preserve">Debilidades en el registro contable de los hechos económicos. Se creó la cuenta 279090000010- Otras Provisiones Diversas, para registrar valores que en su oportunidad y por su origen individualmente debieron haberse registrado como cuenta por pagar.</t>
  </si>
  <si>
    <t xml:space="preserve">Carlos Alberto Riveros Manrique, LUZ MYRIAM RONCANCIO RONCANCIO, Monica Etelmira Gonzalez Montes</t>
  </si>
  <si>
    <t xml:space="preserve">480-4-4</t>
  </si>
  <si>
    <t xml:space="preserve">480-4-4| Realizar el registro de los procesos judiciales de acuerdo al procedimiento contable para el registro de los procesos judiciales, arbitrajes, conciliaciones extrajudiciales y embargos sobre cuentas contables, actualizado según Resolución 082 de 2021 de la CGN. (01/11/2022 - (30/09/2023)</t>
  </si>
  <si>
    <t xml:space="preserve">480-4-5</t>
  </si>
  <si>
    <t xml:space="preserve">480-4-5| Una vez recibida la información solicitada al área jurídica se procederá a realizar los registros a que haya lugar y generar la respectiva conciliación. (01/10/2022 - (30/09/2023)</t>
  </si>
  <si>
    <t xml:space="preserve">480-5</t>
  </si>
  <si>
    <t xml:space="preserve">Debilidades en los soportes documentales de los hechos económicos que originan los registros contables.</t>
  </si>
  <si>
    <t xml:space="preserve">480-5-6</t>
  </si>
  <si>
    <t xml:space="preserve">480-5-6| Realizar el registro de los procesos judiciales de acuerdo al procedimiento contable para el registro de los procesos judiciales, arbitrajes, conciliaciones extrajudiciales y embargos sobre cuentas contables, actualizado según Resolución 082 de 2021 de la CGN. (01/11/2022 - (30/09/2023)</t>
  </si>
  <si>
    <t xml:space="preserve">480-6</t>
  </si>
  <si>
    <t xml:space="preserve">Diferencias evidenciadas con la circularización realizada con los proveedores, frente a los saldos reportados al equipo auditor por parte de la Dirección Financiera</t>
  </si>
  <si>
    <t xml:space="preserve">Carlos Alberto Riveros Manrique, LUZ MYRIAM RONCANCIO RONCANCIO</t>
  </si>
  <si>
    <t xml:space="preserve">480-6-7</t>
  </si>
  <si>
    <t xml:space="preserve">480-6-7| Realizar circularización al 100% de los proveedores con corte a junio 30 de 2023. (01/11/2022 - (30/09/2023)</t>
  </si>
  <si>
    <t xml:space="preserve">480-6-8</t>
  </si>
  <si>
    <t xml:space="preserve">480-6-8| Realizar conciliación entre los saldos registrados en los estados financieros de la Subred y los estados de cuenta enviados por los proveedores. (01/11/2022 - (30/09/2023)</t>
  </si>
  <si>
    <t xml:space="preserve">480-7</t>
  </si>
  <si>
    <t xml:space="preserve">Incumplimiento de los lineamientos establecidos en la Resolución 834 de 2016 en cuanto a la periodicidad de las reuniones por parte del Comité Técnico de Sostenibilidad Contable</t>
  </si>
  <si>
    <t xml:space="preserve">480-7-9</t>
  </si>
  <si>
    <t xml:space="preserve">480-7-9| Realizar las reuniones del Comité de Sostenibilidad de acuerdo a lo señalado en la Resolución 779 de 2023, por medio de la cual se crea el Comité de Sostenibilidad y se deroga la Resolución 834 de 2016. (01/11/2022 - (30/09/2023)</t>
  </si>
  <si>
    <t xml:space="preserve">480-8</t>
  </si>
  <si>
    <t xml:space="preserve">Incumplimiento de la Resolución No. DDC 003 del 5 de diciembre de 2018, artículo 7º, que determina que los entes públicos distritales deben elaborar un Plan de Sostenibilidad Contable</t>
  </si>
  <si>
    <t xml:space="preserve">480-8-10</t>
  </si>
  <si>
    <t xml:space="preserve">480-8-10| Elaborar y aprobar el plan de depuración contable para las partidas sujetas a revisión de acuerdo a lo señalado en la Resolución 193 de 2016 de la CGN por parte del Comité de Sostenibilidad Contable. (01/11/2022 - (30/09/2023)</t>
  </si>
  <si>
    <t xml:space="preserve">480-8-11</t>
  </si>
  <si>
    <t xml:space="preserve">480-8-11| Realizar seguimiento a la ejecución del plan de depuración contable. (01/11/2022 - (30/09/2023)</t>
  </si>
  <si>
    <t xml:space="preserve">480-9</t>
  </si>
  <si>
    <t xml:space="preserve">Error en el registro y asignación del rubro presupuestal, de acuerdo a la Definición de los rubros de Ingresos y Gastos Empresas Sociales del Estado (proyecto de presupuesto 2018 – Alcaldía Mayor de Bogotá DC. –Secretaria Distrital de Hacienda – Dirección Distrital de Presupuesto</t>
  </si>
  <si>
    <t xml:space="preserve">480-9-12</t>
  </si>
  <si>
    <t xml:space="preserve">480-9-12| Expedir certificación en la cual se deje constancia de que el registro y asignación del rubro presupuestal se realiza de acuerdo a lo señalado en el Manual Operativo de Presupuesto adoptado mediante Resolución SHD-191 de 2017 de la Secretaria de Hacienda, por parte del responsable de presupuesto. (01/11/2022 - (30/09/2023)</t>
  </si>
  <si>
    <t xml:space="preserve">480-10</t>
  </si>
  <si>
    <t xml:space="preserve">No se han facturado los cargos abiertos de vigencias 2017 a 2021 por valor de $342.543.613, lo que dificultaría su recaudo efectivo por la antigüedad de los mismos</t>
  </si>
  <si>
    <t xml:space="preserve">480-10-13</t>
  </si>
  <si>
    <t xml:space="preserve">480-10-13| Presentar informe de los cargos facturados y depurados de las vigencias 2021, 2022 y 2023 en el Comité de Sostenbilidad. (01/11/2022 - (30/09/2023)</t>
  </si>
  <si>
    <t xml:space="preserve">480-11</t>
  </si>
  <si>
    <t xml:space="preserve">Debilidades en la identificación del tercero para el reconocimiento de un hecho económico y su recaudo posterior.</t>
  </si>
  <si>
    <t xml:space="preserve">480-11-14</t>
  </si>
  <si>
    <t xml:space="preserve">480-11-14| Conciliar recaudo de cartera por tipo de pagador, tercero y vigencia entre cartera, tesorería y presupuesto. (01/11/2022 - (30/09/2023)</t>
  </si>
  <si>
    <t xml:space="preserve">480-12</t>
  </si>
  <si>
    <t xml:space="preserve">El módulo de costos del sistema Servinte Clínical Suite no se encuentra en producción</t>
  </si>
  <si>
    <t xml:space="preserve">BERNAL GONZALEZ YOLANDA, Carlos Alberto Riveros Manrique, LUZ MYRIAM RONCANCIO RONCANCIO, Mauricio Alejandro Rodríguez Tovar</t>
  </si>
  <si>
    <t xml:space="preserve">480-12-15</t>
  </si>
  <si>
    <t xml:space="preserve">480-12-15| Certificar por parte del responsable de costos que la parametrización en el sistema de información Dinámica Gerencial se realizó de acuerdo a los lineamientos de la Resolución DDC-0001 de 2023 del Contador de Bogotá D.C. (01/11/2022 - (30/09/2023)</t>
  </si>
  <si>
    <t xml:space="preserve">PM39_2023 INFORME DE AUDITORIA DE PAGOS 2023.</t>
  </si>
  <si>
    <t xml:space="preserve">492-1</t>
  </si>
  <si>
    <t xml:space="preserve">La información de los comprobantes de egreso concerniente a números de facturas y a plazos en los pagos establecidos en los contratos, lo anterior incide significativamente en la generación de los estados de cartera a proveedores y toma de decisiones al momento de definir el pago de las facturas vencidas.</t>
  </si>
  <si>
    <t xml:space="preserve">Carlos Alberto Riveros Manrique, LUZ MYRIAM RONCANCIO RONCANCIO, MARTHA ISABEL DOZA BOLIVAR</t>
  </si>
  <si>
    <t xml:space="preserve">492-1-1</t>
  </si>
  <si>
    <t xml:space="preserve">492-1-1| Registrar en el detalle de los comprobantes de egreso el número de factura y fecha de vencimiento de la misma. (01/06/2023 - (30/09/2023)</t>
  </si>
  <si>
    <t xml:space="preserve">492-2</t>
  </si>
  <si>
    <t xml:space="preserve">Incumplimiento en la cancelación de facturas vencidas en el momento de realizar la programación de pagos de facturas acumuladas por proveedor.</t>
  </si>
  <si>
    <t xml:space="preserve">492-2-2</t>
  </si>
  <si>
    <t xml:space="preserve">492-2-2| Realizar los pagos a proveedores teniendo en cuenta la liquidez de la entidad, la facturación vencida y los bienes o servicios adeudados. Dejando evidenciado el análisis de los pagos realizados en actas suscritas por el Subgerente Corporativo(a), Director(a) Financiero(a) y Tesorero(a). (01/06/2023 - (30/09/2023)</t>
  </si>
  <si>
    <t xml:space="preserve">492-3</t>
  </si>
  <si>
    <t xml:space="preserve">Incumplimiento en la entrega oportuna de la información solicitada por los entes de control.</t>
  </si>
  <si>
    <t xml:space="preserve">492-3-3</t>
  </si>
  <si>
    <t xml:space="preserve">492-3-3| Diseñar base de datos en Excel para el control de los  requerimientos recibidos de los entes de control, la cual incluirá la fecha de recepción, el concepto, el subproceso responsable, la fecha de vencimiento y la fecha de entrega al respectivo ente de control. (01/06/2023 - (30/09/2023)</t>
  </si>
  <si>
    <t xml:space="preserve">492-4</t>
  </si>
  <si>
    <t xml:space="preserve">El instructivo de pagos, debe incluir la eliminación de procesos de pago y las medidas de seguridad establecidas en los portales de las entidades financieras.</t>
  </si>
  <si>
    <t xml:space="preserve">492-4-4</t>
  </si>
  <si>
    <t xml:space="preserve">492-4-4| Actualizar el instructivo de pagos en la plataforma financiera, incluyendo la eliminación de los pagos antes de su validación. (01/06/2023 - (30/09/2023)</t>
  </si>
  <si>
    <t xml:space="preserve">492-5</t>
  </si>
  <si>
    <t xml:space="preserve">Debilidades en el conocimiento de la plataforma de Davivienda para el manejo de la eliminación de pagos antes de la validación.</t>
  </si>
  <si>
    <t xml:space="preserve">492-5-5</t>
  </si>
  <si>
    <t xml:space="preserve">492-5-5| Solicitar  capacitación de la plataforma de pagos de Davivienda para los responsables del manejo de la mistar (01/06/2023 - (30/09/2023)</t>
  </si>
  <si>
    <t xml:space="preserve">PM40_2023 EVALUACIÓN DEL SISTEMA DE CONTROL INTERNO CONTABLE 2022</t>
  </si>
  <si>
    <t xml:space="preserve">497-1</t>
  </si>
  <si>
    <t xml:space="preserve">El sistema de información Servinte no permite el adecuado registro y control de la información financiera de la entidad.</t>
  </si>
  <si>
    <t xml:space="preserve">497-1-1</t>
  </si>
  <si>
    <t xml:space="preserve">497-1-1| Certificación por parte del contador de la entiad de que la parametrización del sistema de información Dinámica Gerencial se realizó de acuerdo a la dinámica de las cuentas establecida en la Resolución 139 de 2015 de la CGN. (01/03/2023 - (30/09/2023)</t>
  </si>
  <si>
    <t xml:space="preserve">497-2</t>
  </si>
  <si>
    <t xml:space="preserve">Debilidades en el seguimiento a la ejecución de los controles establecidos en las matrices de riesgo de proceso.</t>
  </si>
  <si>
    <t xml:space="preserve">497-2-2</t>
  </si>
  <si>
    <t xml:space="preserve">497-2-2| Enviar a la Oficina de Desarrollo Institucional los documentos soporte que evidencian las acciones para la mitigación de riesgos. (01/03/2023 - (30/09/2023)</t>
  </si>
  <si>
    <t xml:space="preserve">497-3</t>
  </si>
  <si>
    <t xml:space="preserve">El plan de capacitación en los temas contables y tributarios para los profesionales del área contable.</t>
  </si>
  <si>
    <t xml:space="preserve">497-3-3</t>
  </si>
  <si>
    <t xml:space="preserve">497-3-3| Solicitar por caja menor la adquisición de la suscripción del aplicativo actualicese, con el fin de tener acceso permanente a normatividad contable y tributaria, al igual, que a consultas relacionadas con los temas financieros. (01/03/2023 - (30/09/2023)</t>
  </si>
  <si>
    <t xml:space="preserve">497-4</t>
  </si>
  <si>
    <t xml:space="preserve">Debilidades en la socialización efectiva, para planes de mejoramiento, procesos y procedimientos, guías o instructivos dirigidos al personal involucrado en el proceso contable</t>
  </si>
  <si>
    <t xml:space="preserve">497-4-4</t>
  </si>
  <si>
    <t xml:space="preserve">497-4-4| Actualizar y socializar los procedimientos contables de acuerdo a la normatividad vigente y al nuevo sistema de información. (01/03/2023 - (30/09/2023)</t>
  </si>
  <si>
    <t xml:space="preserve">497-5</t>
  </si>
  <si>
    <t xml:space="preserve">Debilidades en los controles que garanticcen soportes idóneos al momento de registrar los hechos económicos en el sistema de información.</t>
  </si>
  <si>
    <t xml:space="preserve">497-5-5</t>
  </si>
  <si>
    <t xml:space="preserve">497-5-5| Enviar comunicación a todas las áreas generadoras de información contable y financiera, señalando los informes que se deben entregar al igual que el respectivo cronograma. (01/03/2023 - (30/09/2023)</t>
  </si>
  <si>
    <t xml:space="preserve">497-6</t>
  </si>
  <si>
    <t xml:space="preserve">Debilidades en el seguimiento y monitoreo al plan de depuración contable a desarrollar en la vigencia 2023</t>
  </si>
  <si>
    <t xml:space="preserve">497-6-6</t>
  </si>
  <si>
    <t xml:space="preserve">497-6-6| Realizar seguimiento a la ejecución del plan de depuración contable por parte del Comité de Sostenibilidad. (01/03/2023 - (30/09/2023)</t>
  </si>
  <si>
    <t xml:space="preserve">497-7</t>
  </si>
  <si>
    <t xml:space="preserve">Implementar acciones efectivas para dar cumplimiento a los planes de mejoramiento del proceso financiero, remitiendo la información y/o soporte de las acciones de forma oportuna a la Oficina de Control Interno.</t>
  </si>
  <si>
    <t xml:space="preserve">497-7-7</t>
  </si>
  <si>
    <t xml:space="preserve">497-7-7| Realizar seguimiento a la ejecución de los planes de mejoramiento relacionados con el proceso financiero en las reuniones del Comité de Sostenibilidad. (01/03/2023 - (30/09/2023)</t>
  </si>
  <si>
    <t xml:space="preserve">497-8</t>
  </si>
  <si>
    <t xml:space="preserve">Fortalecer los procesos de conciliación y realización de inventarios.</t>
  </si>
  <si>
    <t xml:space="preserve">497-8-8</t>
  </si>
  <si>
    <t xml:space="preserve">497-8-8| Realizar conciliación mensual entre los registros de los estados financieros y el kardex de inventarios. (01/03/2023 - (30/09/2023)</t>
  </si>
  <si>
    <t xml:space="preserve">AICI202202</t>
  </si>
  <si>
    <t xml:space="preserve">Sarlaft 2022</t>
  </si>
  <si>
    <t xml:space="preserve">AICI202202-1</t>
  </si>
  <si>
    <t xml:space="preserve">Dar cumplimiento al articulo 5 de la resolución 491 2021 Comité Auditor de riesgos, en cuanto a la realización de sesiones ordinarias cada 3 meses.</t>
  </si>
  <si>
    <t xml:space="preserve">De acuerdo a la evaluación realizada no se ha reunido el comité desde su conformación</t>
  </si>
  <si>
    <t xml:space="preserve">EQUIPO SARLAFT</t>
  </si>
  <si>
    <t xml:space="preserve">AICI202202-1-1</t>
  </si>
  <si>
    <t xml:space="preserve">AICI202202-1-1| Elaborar el cronograma de reuniones para dar cumplimiento a las sesiones establecidas. (01/abr/2022 - 30/jun/2022)</t>
  </si>
  <si>
    <t xml:space="preserve">AICI202202-2</t>
  </si>
  <si>
    <t xml:space="preserve">Incorporación de políticas y procedimientos para la identificación y conocimiento de beneficiarios finales para los procesos contractuales con personas jurídicas.</t>
  </si>
  <si>
    <t xml:space="preserve">Evaluar la incorporacion de politicas de conocimiento de beneficiarios finales en los procesos de contratación.</t>
  </si>
  <si>
    <t xml:space="preserve">AREA DE CONTRATACION</t>
  </si>
  <si>
    <t xml:space="preserve">AICI202202-2-1</t>
  </si>
  <si>
    <t xml:space="preserve">AICI202202-2-1| Articular con la Dirección de Contratación para inlcuir en la solicitud del RUB (registro único de beneficiarios) en los estudios ... (01/abr/2022 - 30/sept/2022)</t>
  </si>
  <si>
    <t xml:space="preserve">AICI202202-3</t>
  </si>
  <si>
    <t xml:space="preserve">Diligenciar el formato de conocimiento del cliente para vinculación de personas naturales como usuarios particulares.</t>
  </si>
  <si>
    <t xml:space="preserve">No se está realizando el diligenciamiento del formato de conocimiento del cliente a personas naturales particulares</t>
  </si>
  <si>
    <t xml:space="preserve">EQUIPO SARLAFT/ AREA DE TESORERIA</t>
  </si>
  <si>
    <t xml:space="preserve">AICI202202-3-1</t>
  </si>
  <si>
    <t xml:space="preserve">AICI202202-3-1| Articular con la Dirección financiera para la aplicación del formato a los clientes particulares al momento de presentarse una ... (01/abr/2022 - 30/jun/2022)</t>
  </si>
  <si>
    <t xml:space="preserve">AICI202202-4</t>
  </si>
  <si>
    <t xml:space="preserve">Actualizar el Manual de procedimientos para la administracion del riesgo de lavado de activos y financiacion del terrorismo SARLAFT.</t>
  </si>
  <si>
    <t xml:space="preserve">El manual contempla dependencias y procesos que no corresponden a la estructura de la Entidad</t>
  </si>
  <si>
    <t xml:space="preserve">EQUIPO SARLAFT/ OFICINA DESARROLLO INSTITUCIONAL, OFICINA JURIDICA</t>
  </si>
  <si>
    <t xml:space="preserve">AICI202202-4-1</t>
  </si>
  <si>
    <t xml:space="preserve">AICI202202-4-1| Actualizar el Manual SARLAFT, con las modificaciones exigidas por la normatividad vigente (01/abr/2022 - 30/jun/2022)</t>
  </si>
  <si>
    <t xml:space="preserve">AICI202202-5</t>
  </si>
  <si>
    <t xml:space="preserve">Ajuste del Mapa de Riesgos SARLAFT, con el área de desarrollo institucional</t>
  </si>
  <si>
    <t xml:space="preserve">Evaluar la descripción de controles y periodicidad del mapá de riesgos SARLAFT.</t>
  </si>
  <si>
    <t xml:space="preserve">AICI202202-5-1</t>
  </si>
  <si>
    <t xml:space="preserve">AICI202202-5-1| Articular con la Oficina de Desarrollo institucional para actualizar los controles que se encuentran en la matriz del mapa de riesgos (01/abr/2022 - 30/jun/2022)</t>
  </si>
  <si>
    <t xml:space="preserve">AICI202202-6</t>
  </si>
  <si>
    <t xml:space="preserve">Verificar el cumplimiento a las clausulas del contrato de compra 101-2021 de la herramienta AML-RISK.</t>
  </si>
  <si>
    <t xml:space="preserve">Cumplimiento en lo relacionado con la capacitacion funcional sobre el software</t>
  </si>
  <si>
    <t xml:space="preserve">AICI202202-6-1</t>
  </si>
  <si>
    <t xml:space="preserve">AICI202202-6-1| Dar continuidad al proceso de capacitación por parte del administrador de la herramienta (01/abr/2022 - 31/dic/2022)</t>
  </si>
  <si>
    <t xml:space="preserve">AICI202202-7</t>
  </si>
  <si>
    <t xml:space="preserve">Implementar mecanismos de verificación de los reportes de operaciones sospechosas a la UIAF</t>
  </si>
  <si>
    <t xml:space="preserve">Seguimiento en el cumplimiento del reporte de las operaciones a la UAF</t>
  </si>
  <si>
    <t xml:space="preserve">AICI202202-7-1</t>
  </si>
  <si>
    <t xml:space="preserve">AICI202202-7-1| Dar continuidad al proceso de diligenciamiento de la matriz de seguimiento mensual con los campos requeridos para el reporte (01/abr/2022 - 31/dic/2022)</t>
  </si>
  <si>
    <t xml:space="preserve">AICI202202-8</t>
  </si>
  <si>
    <t xml:space="preserve">Implementar acciones complementarias para ampliar la cobertura de formación en SARLAFT</t>
  </si>
  <si>
    <t xml:space="preserve">Ampliar acciones para la coberura de los servidores públicos formados en SARLAFT.</t>
  </si>
  <si>
    <t xml:space="preserve">AICI202202-8-1</t>
  </si>
  <si>
    <t xml:space="preserve">AICI202202-8-1| Capacitar de manera permanente a las diferentes areas de la Subred en SARLAFT (01/abr/2022 - 31/dic/2022)</t>
  </si>
  <si>
    <t xml:space="preserve">Tipo</t>
  </si>
  <si>
    <t xml:space="preserve">Ambito</t>
  </si>
  <si>
    <t xml:space="preserve">Origen</t>
  </si>
  <si>
    <t xml:space="preserve">Estado</t>
  </si>
  <si>
    <t xml:space="preserve">Estado_acc</t>
  </si>
  <si>
    <t xml:space="preserve">AUDITORÍA</t>
  </si>
  <si>
    <t xml:space="preserve">INTERNA</t>
  </si>
  <si>
    <t xml:space="preserve">CINTERNO</t>
  </si>
  <si>
    <t xml:space="preserve">Aurelio Castro</t>
  </si>
  <si>
    <t xml:space="preserve">Activa</t>
  </si>
  <si>
    <t xml:space="preserve">Completo</t>
  </si>
  <si>
    <t xml:space="preserve">1. Despacho del Gerente</t>
  </si>
  <si>
    <t xml:space="preserve">SEGUIMIENTO</t>
  </si>
  <si>
    <t xml:space="preserve">EXTERNA</t>
  </si>
  <si>
    <t xml:space="preserve">CALIDAD</t>
  </si>
  <si>
    <t xml:space="preserve">Alexander Rodríguez</t>
  </si>
  <si>
    <t xml:space="preserve">Cerrada</t>
  </si>
  <si>
    <t xml:space="preserve">En desarrollo</t>
  </si>
  <si>
    <t xml:space="preserve">1.1. Jurídica</t>
  </si>
  <si>
    <t xml:space="preserve">CONTRALORÍA</t>
  </si>
  <si>
    <t xml:space="preserve">Juliana Villalobos</t>
  </si>
  <si>
    <t xml:space="preserve">Detenida</t>
  </si>
  <si>
    <t xml:space="preserve">Atrasado</t>
  </si>
  <si>
    <t xml:space="preserve">PERSONERÍA</t>
  </si>
  <si>
    <t xml:space="preserve">Liliana Plata</t>
  </si>
  <si>
    <t xml:space="preserve">No Inciada</t>
  </si>
  <si>
    <t xml:space="preserve">No iniciado</t>
  </si>
  <si>
    <t xml:space="preserve">1.3. Comunicaciones</t>
  </si>
  <si>
    <t xml:space="preserve">RFISCAL</t>
  </si>
  <si>
    <t xml:space="preserve">Luis Tristancho</t>
  </si>
  <si>
    <t xml:space="preserve">1.4. Control Interno</t>
  </si>
  <si>
    <t xml:space="preserve">VEEDURÍA</t>
  </si>
  <si>
    <t xml:space="preserve">Mery Parra</t>
  </si>
  <si>
    <t xml:space="preserve">PINTERNO</t>
  </si>
  <si>
    <t xml:space="preserve">Nohora Martínez</t>
  </si>
  <si>
    <t xml:space="preserve">1.6. Gestión del Conocimiento</t>
  </si>
  <si>
    <t xml:space="preserve">Oscar Vergara</t>
  </si>
  <si>
    <t xml:space="preserve">1.7. Calidad</t>
  </si>
  <si>
    <t xml:space="preserve">William Morales</t>
  </si>
  <si>
    <t xml:space="preserve">1.8. Control Interno Disciplinario</t>
  </si>
  <si>
    <t xml:space="preserve">2.2. Servicios Hospitalarios</t>
  </si>
  <si>
    <t xml:space="preserve">2.3. Servicios De Urgencias</t>
  </si>
  <si>
    <t xml:space="preserve">3. Subgerencia Corporativa</t>
  </si>
  <si>
    <t xml:space="preserve">1TkdybUkO4Iziim51-cs2RpS_8KRCR67VD-e5JhSL4AA</t>
  </si>
  <si>
    <t xml:space="preserve">b1:b500</t>
  </si>
  <si>
    <t xml:space="preserve">c1:c500</t>
  </si>
  <si>
    <t xml:space="preserve">d1:d500</t>
  </si>
  <si>
    <t xml:space="preserve">e1:e500</t>
  </si>
  <si>
    <t xml:space="preserve">f1:f500</t>
  </si>
  <si>
    <t xml:space="preserve">g1:g500</t>
  </si>
  <si>
    <t xml:space="preserve">clave</t>
  </si>
  <si>
    <t xml:space="preserve">18tr-XL74hGoKryfDVtc9ZTk8oskjV6lurwehSyQHUjI</t>
  </si>
  <si>
    <t xml:space="preserve">1-LaC1TtNP8imexu2PBd0GLIP2hDMGtKBPzHdj4WCvkQ</t>
  </si>
  <si>
    <t xml:space="preserve">18kN3xe5Y4A0nJ2keWmkEuyWWO7VvcUZssZDMma6jHFs</t>
  </si>
  <si>
    <t xml:space="preserve">1Q1--fwb8p_vw8U0Zg24oyuU8yslQS-J8iCediJ56l40</t>
  </si>
  <si>
    <t xml:space="preserve">1QJEk-htCzj8vNcAZ3fm6PO7dSUzqkBXu0uwrjS5A9hQ</t>
  </si>
  <si>
    <t xml:space="preserve">1ktzUY2u877_goZ930sIdHHBIU_eX61ys06NooMmJZnw</t>
  </si>
  <si>
    <t xml:space="preserve">1zzDTUCWH-b2N4DFzwkaTaiYOk1cgpxer0ZyDIro46jg</t>
  </si>
  <si>
    <t xml:space="preserve">1nvmH9kKW4cVXEFSzieBVGhytkzG_mu6LnvGpXjpnn3Q</t>
  </si>
  <si>
    <t xml:space="preserve">1_Xm3JRjWqqJajPiO3XKygnDY0hGBMNqs7regYVPe2hw</t>
  </si>
  <si>
    <t xml:space="preserve">1rSuywkWx6DtEAF-thA9DFNpnJkGGcqOCNOClXPDg5Yk</t>
  </si>
  <si>
    <t xml:space="preserve">1qBHEdazcpihZQW4LRxYVnNjf3-7jKvZ-k24p7Q_CPaU</t>
  </si>
  <si>
    <t xml:space="preserve">1rC8Kg9cPhzwE775_2_Bwkn_y7bjNB4REerUcQJPOmz0</t>
  </si>
  <si>
    <t xml:space="preserve">1mLOkoMX_0lBx2i7_Z2Fri2d1yBWcfuFH1wOvKxpMYQ4</t>
  </si>
  <si>
    <t xml:space="preserve">17Op3Q8ycyL-ZxpzhGqYaF-58qjBA86JMlnzYAqc9HeE</t>
  </si>
  <si>
    <t xml:space="preserve">10eSxkXWXvs0dvb03pBEaraWT-m25W6U143K2AX4kZ6Q</t>
  </si>
  <si>
    <t xml:space="preserve">1qThYnZL_G93wJmQlh54jhBlnsGJmGv7_6bnL66FEbwE</t>
  </si>
  <si>
    <t xml:space="preserve">1k-0hJgS21A-rcSDO2NPFESQGkKbrzk0Cjw6xIJlj9-Y</t>
  </si>
  <si>
    <t xml:space="preserve">1x9OxFqSuAFnADWhCcCNTvuksVFaf_65_hWynlTyUE0c</t>
  </si>
  <si>
    <t xml:space="preserve">1EYqaJPE4cDYbcKXUtvsp92vb-lGs41RYBMPQ6_2byk8</t>
  </si>
  <si>
    <t xml:space="preserve">1GIBdPGhlcOp39bsSq2AGuOFpwO1b_Cux2V1gUhy62LA</t>
  </si>
  <si>
    <t xml:space="preserve">1MBa7nxNYlsIc-p8mswMPQTN8tDDjlTudynKxeIrp9vA</t>
  </si>
  <si>
    <t xml:space="preserve">1XykPBPLaIWkx7RytSy0EjFNSkynQtC9yRVCDLFDscmw</t>
  </si>
  <si>
    <t xml:space="preserve">1gWIcPoXoDkQF77k5Z2J5KI7KwcTKz8qE32SZCw0rvBU</t>
  </si>
  <si>
    <t xml:space="preserve">1sgZRdfMMbon13OCo0YeQuZzKkN5Ly7iVzXlJ8ZoUz5U</t>
  </si>
  <si>
    <t xml:space="preserve">10pglCy01nTgYz8MKn3H4MRl0I7PmWvcgRsRHX-VDwn4</t>
  </si>
  <si>
    <t xml:space="preserve">1qSASZiLFYOJDucmM6G5lEuB0WyJbdmi1-Jp7TOHujdY</t>
  </si>
  <si>
    <t xml:space="preserve">1-Suj_LqbUrjez66DunTThnqs36Es80l_9fsZ1k3WKr0</t>
  </si>
  <si>
    <t xml:space="preserve">1hBeTC2tIOZauD4tcvkoZYm0242tm9VSvD32P7csSjI8</t>
  </si>
  <si>
    <t xml:space="preserve">1guYlxvwWHeLYnFgK589LxtAVa66xo_HNdsQnLNCW6rk</t>
  </si>
  <si>
    <t xml:space="preserve">1VYqvBLT7Ldz9M0-33x__lUhiCtRnCIUvAhOUaVRMv7Y</t>
  </si>
  <si>
    <t xml:space="preserve">1qZxVgi5hVHnxBejsglvnGc2T0Il5Pr-5XE2GEVyihUc</t>
  </si>
  <si>
    <t xml:space="preserve">1nQZgKz25m2o02N2KmjC5FBv5Cz3kJYbpbU0wjIHETOU</t>
  </si>
  <si>
    <t xml:space="preserve">1axxtu-bdU3iUkQSnOiJPLZ4Id1gxu8r6airJCK85ERg</t>
  </si>
  <si>
    <t xml:space="preserve">1LMMHXR9XtkmGNe2_M-QhKaipsQJNXVoI3IcBVM_B_a4</t>
  </si>
  <si>
    <t xml:space="preserve">19Fo7Tees_OKTyxMr8zGxyFJrmOtr_JwuQvPOA-jTFBc</t>
  </si>
  <si>
    <t xml:space="preserve">12YLfbXV49-pGzb-uWZI6UeacthgqBkiBH8AIWuLm2N8</t>
  </si>
  <si>
    <t xml:space="preserve">1UMQN-TaHziwc7S92EE-KRuI6EdWz6XX3GS11yeijhEs</t>
  </si>
  <si>
    <t xml:space="preserve">1f8PCXsGNRPz7f7fnLRXX33zvjhCSXe9C0aojhFet9dU</t>
  </si>
  <si>
    <t xml:space="preserve">1bwkQgAHCEpmdnXeRMDc7nYsK6gwAZj0BUNMb4J4B3GY</t>
  </si>
  <si>
    <t xml:space="preserve">17NnoK2gVetlk31W9NRPBOt4udyS0OYaxN24mJ0MaZd0</t>
  </si>
  <si>
    <t xml:space="preserve">1I3qfjlhqBe-a4qOmU-FHSdjLA6wPVm-IZTGR85VBUJg</t>
  </si>
  <si>
    <t xml:space="preserve">1loYBJs3CyW1TKnKiDmlfhNXOFgxA_IMDKYrjj5bgdY8</t>
  </si>
  <si>
    <t xml:space="preserve">1zSaHrMzblOPEdVwOFUdauQt2xFRj0tkscZuqey8Acdk</t>
  </si>
  <si>
    <t xml:space="preserve">1gqwcXTfV2BXg7GgjuaO4tvPkPZfCtaDvaqTUpLkjlQ8</t>
  </si>
  <si>
    <t xml:space="preserve">b1:b1000</t>
  </si>
  <si>
    <t xml:space="preserve">c1:c1000</t>
  </si>
  <si>
    <t xml:space="preserve">d1:d1000</t>
  </si>
  <si>
    <t xml:space="preserve">e1:e1000</t>
  </si>
  <si>
    <t xml:space="preserve">f1:f1000</t>
  </si>
  <si>
    <t xml:space="preserve">g1:g1000</t>
  </si>
  <si>
    <t xml:space="preserve">Clave</t>
  </si>
  <si>
    <t xml:space="preserve">1wWnTT0YyJpe2i4gyp2FzuYBsK5uRGOjFFKeK0S8RUag</t>
  </si>
  <si>
    <t xml:space="preserve">b1:b100</t>
  </si>
  <si>
    <t xml:space="preserve">c1:c100</t>
  </si>
  <si>
    <t xml:space="preserve">d1:d100</t>
  </si>
  <si>
    <t xml:space="preserve">e1:e100</t>
  </si>
  <si>
    <t xml:space="preserve">f1:f100</t>
  </si>
  <si>
    <t xml:space="preserve">g1:g100</t>
  </si>
  <si>
    <t xml:space="preserve">1Br_XRCKV5MzACeFPuQqWcZphjGhfzRHqVJ8GzhZjLWU</t>
  </si>
  <si>
    <t xml:space="preserve">1vdeAEpQCMQOa_CJoKBOWkXj6gE_PHY3d9-sGFoBNuJM</t>
  </si>
  <si>
    <t xml:space="preserve">1skR1upxCdzG4EYpAEBK19eqekxoxgvNLjZhQ1sCuIeY</t>
  </si>
  <si>
    <t xml:space="preserve">1lkyAFgnsD_QYs_XobqcXQP8oIk9Ee164joIxqcuPNwg</t>
  </si>
  <si>
    <t xml:space="preserve">1G456ViXj4h_XeYgCG3R8zU5fMugeUi5SEETsibVJVJc</t>
  </si>
  <si>
    <t xml:space="preserve">1GInU0H78ZAtLZxuh9qUYaVtYmC_sc7kqySCCTutjiHI</t>
  </si>
  <si>
    <t xml:space="preserve">1kmEKFgNIaN7oQV4VJzKrg_APlnJAM3InznnPAfxiVyg</t>
  </si>
  <si>
    <t xml:space="preserve">1aDHvRLawTby2vAV7wgSINiMsGvLqrZoNA_h7xE_-aNo</t>
  </si>
  <si>
    <t xml:space="preserve">1UxqAsFaknRT12U_qWiFjGa-2PErmI13E7_wkUTP4qQc</t>
  </si>
  <si>
    <t xml:space="preserve">Rpta!</t>
  </si>
  <si>
    <t xml:space="preserve">1A_5_FTYS1VUJp-Bht6NHiqOzoBVoCAHluuOb-i3iScw/edit#gid</t>
  </si>
  <si>
    <t xml:space="preserve">B1:B1000</t>
  </si>
  <si>
    <t xml:space="preserve">1X9DYeDy7b8zpkcoaatqjyXNRwIB8yiYQStHJjEaxuw8/edit#gid</t>
  </si>
  <si>
    <t xml:space="preserve">1LgfDy7IlqxJKBDoxxARUwcpQ667ug4n_9vl0X-zCh9s</t>
  </si>
</sst>
</file>

<file path=xl/styles.xml><?xml version="1.0" encoding="utf-8"?>
<styleSheet xmlns="http://schemas.openxmlformats.org/spreadsheetml/2006/main">
  <numFmts count="3">
    <numFmt numFmtId="164" formatCode="General"/>
    <numFmt numFmtId="165" formatCode="dd/mm/yyyy"/>
    <numFmt numFmtId="166" formatCode="General"/>
  </numFmts>
  <fonts count="18">
    <font>
      <sz val="10"/>
      <color rgb="FF000000"/>
      <name val="Arial"/>
      <family val="0"/>
      <charset val="1"/>
    </font>
    <font>
      <sz val="10"/>
      <name val="Arial"/>
      <family val="0"/>
    </font>
    <font>
      <sz val="10"/>
      <name val="Arial"/>
      <family val="0"/>
    </font>
    <font>
      <sz val="10"/>
      <name val="Arial"/>
      <family val="0"/>
    </font>
    <font>
      <sz val="8"/>
      <name val="Calibri"/>
      <family val="0"/>
      <charset val="1"/>
    </font>
    <font>
      <sz val="7"/>
      <name val="Calibri"/>
      <family val="0"/>
      <charset val="1"/>
    </font>
    <font>
      <b val="true"/>
      <sz val="10"/>
      <color rgb="FF0000FF"/>
      <name val="Arial"/>
      <family val="0"/>
      <charset val="1"/>
    </font>
    <font>
      <sz val="8"/>
      <name val="Calibri"/>
      <family val="2"/>
      <charset val="1"/>
    </font>
    <font>
      <sz val="6"/>
      <name val="Calibri"/>
      <family val="0"/>
      <charset val="1"/>
    </font>
    <font>
      <sz val="10"/>
      <name val="Calibri"/>
      <family val="0"/>
      <charset val="1"/>
    </font>
    <font>
      <sz val="5"/>
      <name val="Calibri"/>
      <family val="0"/>
      <charset val="1"/>
    </font>
    <font>
      <b val="true"/>
      <sz val="10"/>
      <name val="Arial"/>
      <family val="0"/>
      <charset val="1"/>
    </font>
    <font>
      <sz val="10"/>
      <name val="Arial"/>
      <family val="0"/>
      <charset val="1"/>
    </font>
    <font>
      <b val="true"/>
      <sz val="11"/>
      <color rgb="FF000000"/>
      <name val="Calibri"/>
      <family val="0"/>
      <charset val="1"/>
    </font>
    <font>
      <sz val="11"/>
      <color rgb="FF000000"/>
      <name val="Inconsolata"/>
      <family val="0"/>
      <charset val="1"/>
    </font>
    <font>
      <u val="single"/>
      <sz val="10"/>
      <color rgb="FF0000FF"/>
      <name val="Arial"/>
      <family val="0"/>
      <charset val="1"/>
    </font>
    <font>
      <sz val="11"/>
      <color rgb="FF222222"/>
      <name val="Inconsolata"/>
      <family val="0"/>
      <charset val="1"/>
    </font>
    <font>
      <sz val="11"/>
      <color rgb="FF008000"/>
      <name val="Arial"/>
      <family val="0"/>
      <charset val="1"/>
    </font>
  </fonts>
  <fills count="4">
    <fill>
      <patternFill patternType="none"/>
    </fill>
    <fill>
      <patternFill patternType="gray125"/>
    </fill>
    <fill>
      <patternFill patternType="solid">
        <fgColor rgb="FFFFFFFF"/>
        <bgColor rgb="FFF3F3F3"/>
      </patternFill>
    </fill>
    <fill>
      <patternFill patternType="solid">
        <fgColor rgb="FF999999"/>
        <bgColor rgb="FF8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5" fontId="5"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7"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left"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6" fontId="14" fillId="2"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4" fontId="16" fillId="2" borderId="0" xfId="0" applyFont="true" applyBorder="false" applyAlignment="true" applyProtection="false">
      <alignment horizontal="left" vertical="bottom" textRotation="0" wrapText="false" indent="0" shrinkToFit="false"/>
      <protection locked="true" hidden="false"/>
    </xf>
    <xf numFmtId="164" fontId="12" fillId="3" borderId="0" xfId="0" applyFont="true" applyBorder="false" applyAlignment="true" applyProtection="false">
      <alignment horizontal="general" vertical="bottom" textRotation="0" wrapText="false" indent="0" shrinkToFit="false"/>
      <protection locked="true" hidden="false"/>
    </xf>
    <xf numFmtId="164" fontId="17" fillId="2"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1">
    <dxf>
      <fill>
        <patternFill>
          <bgColor rgb="FFFFF2CC"/>
        </patternFill>
      </fill>
    </dxf>
    <dxf>
      <fill>
        <patternFill>
          <bgColor rgb="FFB6D7A8"/>
        </patternFill>
      </fill>
    </dxf>
    <dxf>
      <font>
        <b val="1"/>
      </font>
      <fill>
        <patternFill>
          <bgColor rgb="FFB6D7A8"/>
        </patternFill>
      </fill>
    </dxf>
    <dxf>
      <font>
        <b val="1"/>
      </font>
      <fill>
        <patternFill>
          <bgColor rgb="FFEA9999"/>
        </patternFill>
      </fill>
    </dxf>
    <dxf>
      <font>
        <b val="1"/>
      </font>
      <fill>
        <patternFill>
          <bgColor rgb="FFFFE599"/>
        </patternFill>
      </fill>
    </dxf>
    <dxf>
      <font>
        <b val="1"/>
        <color rgb="FFF3F3F3"/>
      </font>
      <fill>
        <patternFill>
          <bgColor rgb="FF6AA84F"/>
        </patternFill>
      </fill>
    </dxf>
    <dxf>
      <font>
        <b val="1"/>
        <color rgb="FF990000"/>
      </font>
      <fill>
        <patternFill>
          <bgColor rgb="FFF1C232"/>
        </patternFill>
      </fill>
    </dxf>
    <dxf>
      <font>
        <color rgb="FF000000"/>
      </font>
      <fill>
        <patternFill>
          <bgColor rgb="FFEFEFEF"/>
        </patternFill>
      </fill>
    </dxf>
    <dxf>
      <fill>
        <patternFill>
          <bgColor rgb="FFFFF2CC"/>
        </patternFill>
      </fill>
    </dxf>
    <dxf>
      <fill>
        <patternFill>
          <bgColor rgb="FFB6D7A8"/>
        </patternFill>
      </fill>
    </dxf>
    <dxf>
      <font>
        <b val="1"/>
      </font>
      <fill>
        <patternFill>
          <bgColor rgb="FFB6D7A8"/>
        </patternFill>
      </fill>
    </dxf>
    <dxf>
      <font>
        <b val="1"/>
      </font>
      <fill>
        <patternFill>
          <bgColor rgb="FFEA9999"/>
        </patternFill>
      </fill>
    </dxf>
    <dxf>
      <font>
        <b val="1"/>
      </font>
      <fill>
        <patternFill>
          <bgColor rgb="FFFFE599"/>
        </patternFill>
      </fill>
    </dxf>
    <dxf>
      <font>
        <b val="1"/>
      </font>
      <fill>
        <patternFill>
          <bgColor rgb="FFB6D7A8"/>
        </patternFill>
      </fill>
    </dxf>
    <dxf>
      <font>
        <b val="1"/>
      </font>
      <fill>
        <patternFill>
          <bgColor rgb="FFEA9999"/>
        </patternFill>
      </fill>
    </dxf>
    <dxf>
      <font>
        <b val="1"/>
      </font>
      <fill>
        <patternFill>
          <bgColor rgb="FFFFE599"/>
        </patternFill>
      </fill>
    </dxf>
    <dxf>
      <font>
        <b val="1"/>
      </font>
      <fill>
        <patternFill>
          <bgColor rgb="FFB6D7A8"/>
        </patternFill>
      </fill>
    </dxf>
    <dxf>
      <font>
        <b val="1"/>
      </font>
      <fill>
        <patternFill>
          <bgColor rgb="FFEA9999"/>
        </patternFill>
      </fill>
    </dxf>
    <dxf>
      <font>
        <b val="1"/>
      </font>
      <fill>
        <patternFill>
          <bgColor rgb="FFFFE599"/>
        </patternFill>
      </fill>
    </dxf>
    <dxf>
      <fill>
        <patternFill>
          <bgColor rgb="FFFFF2CC"/>
        </patternFill>
      </fill>
    </dxf>
    <dxf>
      <fill>
        <patternFill>
          <bgColor rgb="FFB6D7A8"/>
        </patternFill>
      </fill>
    </dxf>
  </dxfs>
  <colors>
    <indexedColors>
      <rgbColor rgb="FF000000"/>
      <rgbColor rgb="FFFFFFFF"/>
      <rgbColor rgb="FFFF0000"/>
      <rgbColor rgb="FF00FF00"/>
      <rgbColor rgb="FF0000FF"/>
      <rgbColor rgb="FFFFFF00"/>
      <rgbColor rgb="FFFF00FF"/>
      <rgbColor rgb="FF00FFFF"/>
      <rgbColor rgb="FF990000"/>
      <rgbColor rgb="FF008000"/>
      <rgbColor rgb="FF000080"/>
      <rgbColor rgb="FF808000"/>
      <rgbColor rgb="FF800080"/>
      <rgbColor rgb="FF008080"/>
      <rgbColor rgb="FFB6D7A8"/>
      <rgbColor rgb="FF808080"/>
      <rgbColor rgb="FF9999FF"/>
      <rgbColor rgb="FF993366"/>
      <rgbColor rgb="FFFFF2CC"/>
      <rgbColor rgb="FFEFEF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3F3F3"/>
      <rgbColor rgb="FFCCFFCC"/>
      <rgbColor rgb="FFFFFF99"/>
      <rgbColor rgb="FF99CCFF"/>
      <rgbColor rgb="FFEA9999"/>
      <rgbColor rgb="FFCC99FF"/>
      <rgbColor rgb="FFFFE599"/>
      <rgbColor rgb="FF3366FF"/>
      <rgbColor rgb="FF33CCCC"/>
      <rgbColor rgb="FF99CC00"/>
      <rgbColor rgb="FFF1C232"/>
      <rgbColor rgb="FFFF9900"/>
      <rgbColor rgb="FFFF6600"/>
      <rgbColor rgb="FF666699"/>
      <rgbColor rgb="FF999999"/>
      <rgbColor rgb="FF003366"/>
      <rgbColor rgb="FF6AA84F"/>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sharedStrings" Target="sharedStrings.xml"/>
</Relationships>
</file>

<file path=xl/worksheets/_rels/sheet19.xml.rels><?xml version="1.0" encoding="UTF-8"?>
<Relationships xmlns="http://schemas.openxmlformats.org/package/2006/relationships"><Relationship Id="rId1" Type="http://schemas.openxmlformats.org/officeDocument/2006/relationships/hyperlink" Target="https://drive.google.com/open?id=1mjN0oLnNK0WAVejUKztGpNMaTQ-GUiDD" TargetMode="External"/><Relationship Id="rId2" Type="http://schemas.openxmlformats.org/officeDocument/2006/relationships/hyperlink" Target="https://drive.google.com/open?id=1wFyEwDPObvVlm4F4f1Bv-1XdXXyS7AYo" TargetMode="External"/><Relationship Id="rId3" Type="http://schemas.openxmlformats.org/officeDocument/2006/relationships/hyperlink" Target="https://drive.google.com/open?id=1uQPmFJWiy5XVuQq2vF4ejn1F0izfYCpd" TargetMode="External"/>
</Relationships>
</file>

<file path=xl/worksheets/_rels/sheet36.xml.rels><?xml version="1.0" encoding="UTF-8"?>
<Relationships xmlns="http://schemas.openxmlformats.org/package/2006/relationships"><Relationship Id="rId1" Type="http://schemas.openxmlformats.org/officeDocument/2006/relationships/hyperlink" Target="https://drive.google.com/open?id=1NDFAuhnygGqUtmq-yvbEbSvFQfuQcSZf" TargetMode="External"/><Relationship Id="rId2" Type="http://schemas.openxmlformats.org/officeDocument/2006/relationships/hyperlink" Target="https://drive.google.com/open?id=1j_VZzLb2IFMpeCUEsEkep3Kpv6jcGRQV" TargetMode="External"/><Relationship Id="rId3" Type="http://schemas.openxmlformats.org/officeDocument/2006/relationships/hyperlink" Target="https://drive.google.com/open?id=1sZDzL_GOqKpLKyPEAtjbk9DG8tR-ksLb" TargetMode="External"/><Relationship Id="rId4" Type="http://schemas.openxmlformats.org/officeDocument/2006/relationships/hyperlink" Target="https://drive.google.com/open?id=18OyZpSs1FilQGTRbf1FDTu7hr59l6Eze" TargetMode="External"/><Relationship Id="rId5" Type="http://schemas.openxmlformats.org/officeDocument/2006/relationships/hyperlink" Target="https://drive.google.com/open?id=1ZbF6RIZyuqO9dLKDLQ5m8-ll3qXX0pDb" TargetMode="External"/><Relationship Id="rId6" Type="http://schemas.openxmlformats.org/officeDocument/2006/relationships/hyperlink" Target="https://drive.google.com/open?id=1s0kV3SQ2NgYiTne6HQgxzqNgCj0rPXWu" TargetMode="External"/><Relationship Id="rId7" Type="http://schemas.openxmlformats.org/officeDocument/2006/relationships/hyperlink" Target="https://drive.google.com/open?id=1hzbiXUYdXmtWij4KlXuJ401iFFI1O9wD" TargetMode="External"/><Relationship Id="rId8" Type="http://schemas.openxmlformats.org/officeDocument/2006/relationships/hyperlink" Target="https://drive.google.com/open?id=1XGMciwNNfsp-PSNJQLDS0j_MzYTeirUO" TargetMode="External"/><Relationship Id="rId9" Type="http://schemas.openxmlformats.org/officeDocument/2006/relationships/hyperlink" Target="https://drive.google.com/open?id=1qPrZbIyVWl3LkX85xeZ2YiyW1kBYSzgI" TargetMode="External"/><Relationship Id="rId10" Type="http://schemas.openxmlformats.org/officeDocument/2006/relationships/hyperlink" Target="https://drive.google.com/open?id=1jMzjFiaAxJpdW_s34VdIlW0-7LL_CAD0" TargetMode="External"/><Relationship Id="rId11" Type="http://schemas.openxmlformats.org/officeDocument/2006/relationships/hyperlink" Target="https://drive.google.com/open?id=1MROLB7vuZN4syYLqxXhd3gelGmSQKc3T" TargetMode="External"/><Relationship Id="rId12" Type="http://schemas.openxmlformats.org/officeDocument/2006/relationships/hyperlink" Target="https://drive.google.com/open?id=1Rv1rA2nBVHovF_AVuKkOEcJPW13S01Iu" TargetMode="External"/><Relationship Id="rId13" Type="http://schemas.openxmlformats.org/officeDocument/2006/relationships/hyperlink" Target="https://drive.google.com/open?id=1KWgnQBuR44azG71fgNs1KI4mP3R-c7tk" TargetMode="External"/><Relationship Id="rId14" Type="http://schemas.openxmlformats.org/officeDocument/2006/relationships/hyperlink" Target="https://drive.google.com/open?id=1Ih2iUuYwaMxsvcEc5GpgR9duDAXXSdDD" TargetMode="External"/>
</Relationships>
</file>

<file path=xl/worksheets/_rels/sheet37.xml.rels><?xml version="1.0" encoding="UTF-8"?>
<Relationships xmlns="http://schemas.openxmlformats.org/package/2006/relationships"><Relationship Id="rId1" Type="http://schemas.openxmlformats.org/officeDocument/2006/relationships/hyperlink" Target="https://drive.google.com/open?id=1JipnSZV5bYxx7QjtmfiFfUiAR6DNZBHH" TargetMode="External"/><Relationship Id="rId2" Type="http://schemas.openxmlformats.org/officeDocument/2006/relationships/hyperlink" Target="https://drive.google.com/open?id=10kp3mtNgHF_V_5t9FmtCNRvy5FSz4ioB" TargetMode="External"/>
</Relationships>
</file>

<file path=xl/worksheets/_rels/sheet38.xml.rels><?xml version="1.0" encoding="UTF-8"?>
<Relationships xmlns="http://schemas.openxmlformats.org/package/2006/relationships"><Relationship Id="rId1" Type="http://schemas.openxmlformats.org/officeDocument/2006/relationships/hyperlink" Target="https://drive.google.com/open?id=1hE12qdlBRxi12hBCZQf_37SUyOsYE1la" TargetMode="External"/><Relationship Id="rId2" Type="http://schemas.openxmlformats.org/officeDocument/2006/relationships/hyperlink" Target="https://drive.google.com/open?id=1Xpfg8d2nqKXUz1A9Bp0yFfXHlS3jE65t" TargetMode="External"/><Relationship Id="rId3" Type="http://schemas.openxmlformats.org/officeDocument/2006/relationships/hyperlink" Target="https://drive.google.com/open?id=1o0lueIl7MBqfoXoTVs4mV0-vk7YVdsIn" TargetMode="External"/><Relationship Id="rId4" Type="http://schemas.openxmlformats.org/officeDocument/2006/relationships/hyperlink" Target="https://drive.google.com/open?id=1ycy7dDuK-CQBBH0Ya-6WY2LZiFSV5HI2" TargetMode="External"/><Relationship Id="rId5" Type="http://schemas.openxmlformats.org/officeDocument/2006/relationships/hyperlink" Target="https://drive.google.com/open?id=1kuF-3S5N6D_DLAplRapbJ7Nw3Ml9_pNj" TargetMode="External"/><Relationship Id="rId6" Type="http://schemas.openxmlformats.org/officeDocument/2006/relationships/hyperlink" Target="https://drive.google.com/open?id=1so7o-50R28I3zdVPDXRAuwWM57xvlSMA" TargetMode="External"/><Relationship Id="rId7" Type="http://schemas.openxmlformats.org/officeDocument/2006/relationships/hyperlink" Target="https://drive.google.com/open?id=1yzO1c322etid8L8j3KispbOqhNPNk9mv" TargetMode="External"/>
</Relationships>
</file>

<file path=xl/worksheets/_rels/sheet43.xml.rels><?xml version="1.0" encoding="UTF-8"?>
<Relationships xmlns="http://schemas.openxmlformats.org/package/2006/relationships"><Relationship Id="rId1" Type="http://schemas.openxmlformats.org/officeDocument/2006/relationships/hyperlink" Target="https://drive.google.com/open?id=1-aqlcUacwKAdwsDnt9rFPQhadDXH_9OL" TargetMode="External"/><Relationship Id="rId2" Type="http://schemas.openxmlformats.org/officeDocument/2006/relationships/hyperlink" Target="https://drive.google.com/open?id=1XdfBxC8IiqcQGrhxmc3q0zDwiC4z1LzM" TargetMode="External"/><Relationship Id="rId3" Type="http://schemas.openxmlformats.org/officeDocument/2006/relationships/hyperlink" Target="https://drive.google.com/open?id=1JWL3tpFcLYW8li_2cVIenlNKtbTYa0rq" TargetMode="External"/><Relationship Id="rId4" Type="http://schemas.openxmlformats.org/officeDocument/2006/relationships/hyperlink" Target="https://drive.google.com/open?id=1WI6_N1r10QXeI1JC3ka3xvKaBsyo5oX9" TargetMode="External"/><Relationship Id="rId5" Type="http://schemas.openxmlformats.org/officeDocument/2006/relationships/hyperlink" Target="https://drive.google.com/open?id=1rQXCjA_twyGFNL6Bl3uxM77s3u3bN12d" TargetMode="External"/><Relationship Id="rId6" Type="http://schemas.openxmlformats.org/officeDocument/2006/relationships/hyperlink" Target="https://drive.google.com/open?id=10RTRF9z1gBEBhJZoactkFg8mRZWqMpGM" TargetMode="External"/><Relationship Id="rId7" Type="http://schemas.openxmlformats.org/officeDocument/2006/relationships/hyperlink" Target="https://drive.google.com/open?id=1OCFby2Am-zzA5EfgGkOo5AF5gbLkDB1d" TargetMode="External"/><Relationship Id="rId8" Type="http://schemas.openxmlformats.org/officeDocument/2006/relationships/hyperlink" Target="https://drive.google.com/open?id=1sucCCYN19RyYg4nVsJ9cmm1QG3MfP9sZ" TargetMode="External"/><Relationship Id="rId9" Type="http://schemas.openxmlformats.org/officeDocument/2006/relationships/hyperlink" Target="https://drive.google.com/open?id=1LmROxDXh2p3kbC-Vwnu0-g4VaO3YeQFt" TargetMode="External"/>
</Relationships>
</file>

<file path=xl/worksheets/_rels/sheet44.xml.rels><?xml version="1.0" encoding="UTF-8"?>
<Relationships xmlns="http://schemas.openxmlformats.org/package/2006/relationships"><Relationship Id="rId1" Type="http://schemas.openxmlformats.org/officeDocument/2006/relationships/hyperlink" Target="https://drive.google.com/open?id=1aY7LiObavZAXtfxKCxVLgERvP8Dl0SFi" TargetMode="External"/><Relationship Id="rId2" Type="http://schemas.openxmlformats.org/officeDocument/2006/relationships/hyperlink" Target="https://drive.google.com/open?id=1TkGiti-_nA3PZ78PNcdCzDINGgEqrqKp" TargetMode="External"/><Relationship Id="rId3" Type="http://schemas.openxmlformats.org/officeDocument/2006/relationships/hyperlink" Target="https://drive.google.com/open?id=1zCURsoyt3HrThhAzkteQI-O2MpnFnLyx" TargetMode="External"/>
</Relationships>
</file>

<file path=xl/worksheets/_rels/sheet45.xml.rels><?xml version="1.0" encoding="UTF-8"?>
<Relationships xmlns="http://schemas.openxmlformats.org/package/2006/relationships"><Relationship Id="rId1" Type="http://schemas.openxmlformats.org/officeDocument/2006/relationships/hyperlink" Target="https://drive.google.com/open?id=1uXEUlFTmECcbSpQ4cmH3Z5uSVXc6P0GJ" TargetMode="External"/><Relationship Id="rId2" Type="http://schemas.openxmlformats.org/officeDocument/2006/relationships/hyperlink" Target="https://drive.google.com/open?id=1rayjBn8rjar7z3TOkSU4dBC77o7_toxs" TargetMode="External"/><Relationship Id="rId3" Type="http://schemas.openxmlformats.org/officeDocument/2006/relationships/hyperlink" Target="https://drive.google.com/open?id=156hVXScP3cKfZuc1LCVPHTcTHbkCUng8" TargetMode="External"/><Relationship Id="rId4" Type="http://schemas.openxmlformats.org/officeDocument/2006/relationships/hyperlink" Target="https://drive.google.com/open?id=1P0vEfqSpiPVLwVQhJ4GAx3lxWYs11kFk" TargetMode="External"/><Relationship Id="rId5" Type="http://schemas.openxmlformats.org/officeDocument/2006/relationships/hyperlink" Target="https://drive.google.com/open?id=1yM1JIHKJaSw4K4Gljirm02U-Dd9ZW9dJ" TargetMode="External"/><Relationship Id="rId6" Type="http://schemas.openxmlformats.org/officeDocument/2006/relationships/hyperlink" Target="https://drive.google.com/open?id=1d4FLoH5-aGCnBHjB_n32MkcEKmP5eQVW" TargetMode="External"/><Relationship Id="rId7" Type="http://schemas.openxmlformats.org/officeDocument/2006/relationships/hyperlink" Target="https://drive.google.com/open?id=1q5sMdISQCNIGWusR-fDj8vzZG-cWglUc" TargetMode="External"/><Relationship Id="rId8" Type="http://schemas.openxmlformats.org/officeDocument/2006/relationships/hyperlink" Target="https://drive.google.com/open?id=1pY4Z-pGPxir7thOfH5eyyZtaIry9HOLe" TargetMode="External"/><Relationship Id="rId9" Type="http://schemas.openxmlformats.org/officeDocument/2006/relationships/hyperlink" Target="https://drive.google.com/open?id=1RU4jIh76MbwOqJxY6eGm5KhEoOqsc4-k" TargetMode="External"/><Relationship Id="rId10" Type="http://schemas.openxmlformats.org/officeDocument/2006/relationships/hyperlink" Target="https://drive.google.com/open?id=1-XuNkZBEpt42k0KfrMXMChzt99UVWLVh" TargetMode="External"/><Relationship Id="rId11" Type="http://schemas.openxmlformats.org/officeDocument/2006/relationships/hyperlink" Target="https://drive.google.com/open?id=1grlhCMbYgM7j373bAnzedWmw8bckeLYC" TargetMode="External"/><Relationship Id="rId12" Type="http://schemas.openxmlformats.org/officeDocument/2006/relationships/hyperlink" Target="https://drive.google.com/open?id=1gQqAXCIZNnhCfjoFWHStv2hD9-njAmFB" TargetMode="External"/><Relationship Id="rId13" Type="http://schemas.openxmlformats.org/officeDocument/2006/relationships/hyperlink" Target="https://drive.google.com/open?id=1CSiDLnGjJf9DPYmCC34hg3SKed3RVQAO" TargetMode="External"/>
</Relationships>
</file>

<file path=xl/worksheets/_rels/sheet46.xml.rels><?xml version="1.0" encoding="UTF-8"?>
<Relationships xmlns="http://schemas.openxmlformats.org/package/2006/relationships"><Relationship Id="rId1" Type="http://schemas.openxmlformats.org/officeDocument/2006/relationships/hyperlink" Target="https://drive.google.com/open?id=1vfA-5HM4Cf0CLogrJ3HyPplQlp8iTMcP" TargetMode="External"/><Relationship Id="rId2" Type="http://schemas.openxmlformats.org/officeDocument/2006/relationships/hyperlink" Target="https://drive.google.com/open?id=1QRPPS2lMc-EephIXJN5b_faI5-ATgrGF" TargetMode="External"/><Relationship Id="rId3" Type="http://schemas.openxmlformats.org/officeDocument/2006/relationships/hyperlink" Target="https://drive.google.com/open?id=1k9N2IqyNCPDae6tWnz4uTSdFTtiF5lPd" TargetMode="External"/><Relationship Id="rId4" Type="http://schemas.openxmlformats.org/officeDocument/2006/relationships/hyperlink" Target="https://drive.google.com/open?id=1ePh7KI0XSHpRY1W1IEON0wOTV36CIiGZ" TargetMode="External"/><Relationship Id="rId5" Type="http://schemas.openxmlformats.org/officeDocument/2006/relationships/hyperlink" Target="https://drive.google.com/open?id=1rnZQcXEMC77AFArQ2o8mth_BjSU-DEfB" TargetMode="External"/><Relationship Id="rId6" Type="http://schemas.openxmlformats.org/officeDocument/2006/relationships/hyperlink" Target="https://drive.google.com/open?id=1eBW5PgENUzkMsyMqAyaSfUIbtGNZ8QLu" TargetMode="External"/><Relationship Id="rId7" Type="http://schemas.openxmlformats.org/officeDocument/2006/relationships/hyperlink" Target="https://drive.google.com/open?id=1GadbNpzserDZaTqY3pG5QB-S6vs1u5zz" TargetMode="External"/><Relationship Id="rId8" Type="http://schemas.openxmlformats.org/officeDocument/2006/relationships/hyperlink" Target="https://drive.google.com/open?id=1ho_cIptQ5DLc08w-RV58J-wUwaNAflMH" TargetMode="External"/><Relationship Id="rId9" Type="http://schemas.openxmlformats.org/officeDocument/2006/relationships/hyperlink" Target="https://drive.google.com/open?id=18nEh7vTY7rie-HpRudBTgWrmMxWUEd93" TargetMode="External"/><Relationship Id="rId10" Type="http://schemas.openxmlformats.org/officeDocument/2006/relationships/hyperlink" Target="https://drive.google.com/open?id=1fi9PaUiUGaXb5Vm9-TwGxZnKuw2NrQLz" TargetMode="External"/>
</Relationships>
</file>

<file path=xl/worksheets/_rels/sheet47.xml.rels><?xml version="1.0" encoding="UTF-8"?>
<Relationships xmlns="http://schemas.openxmlformats.org/package/2006/relationships"><Relationship Id="rId1" Type="http://schemas.openxmlformats.org/officeDocument/2006/relationships/hyperlink" Target="https://drive.google.com/open?id=1SRkUCmONm-g-r4iwZjZq7tf7jrb7NSQv" TargetMode="External"/><Relationship Id="rId2" Type="http://schemas.openxmlformats.org/officeDocument/2006/relationships/hyperlink" Target="https://drive.google.com/open?id=1mgJj7QdFU0Y-oOvTnPUbaqa3hlz1MUst" TargetMode="External"/><Relationship Id="rId3" Type="http://schemas.openxmlformats.org/officeDocument/2006/relationships/hyperlink" Target="https://drive.google.com/open?id=1_Wl2TJa3oETdT3uZvRSLAb_0Bn-5ko3x" TargetMode="External"/><Relationship Id="rId4" Type="http://schemas.openxmlformats.org/officeDocument/2006/relationships/hyperlink" Target="https://drive.google.com/open?id=1JQiOEtgk3bjk5ZFy5KHcalK5SqIM02pB" TargetMode="External"/><Relationship Id="rId5" Type="http://schemas.openxmlformats.org/officeDocument/2006/relationships/hyperlink" Target="https://drive.google.com/open?id=1E7iErIPo2Tl9zUfYGaVt2wq9Sdp5Zsa9" TargetMode="External"/><Relationship Id="rId6" Type="http://schemas.openxmlformats.org/officeDocument/2006/relationships/hyperlink" Target="https://drive.google.com/open?id=1bxSXp6tyY84bphyAtXPxIXdoEqXsjaJw" TargetMode="External"/><Relationship Id="rId7" Type="http://schemas.openxmlformats.org/officeDocument/2006/relationships/hyperlink" Target="https://drive.google.com/open?id=1AADAxKa7cHLOnvB1z_Y75nE1ViDLKmtl" TargetMode="External"/><Relationship Id="rId8" Type="http://schemas.openxmlformats.org/officeDocument/2006/relationships/hyperlink" Target="https://drive.google.com/open?id=1tzObtzSdTgiv12aiEvxf_j-ziyV4nbNd" TargetMode="External"/><Relationship Id="rId9" Type="http://schemas.openxmlformats.org/officeDocument/2006/relationships/hyperlink" Target="https://drive.google.com/open?id=1bd9ohK_TLTphL04BDh63JsT2lz1ygpIY" TargetMode="External"/><Relationship Id="rId10" Type="http://schemas.openxmlformats.org/officeDocument/2006/relationships/hyperlink" Target="https://drive.google.com/open?id=119_O-sGhtzS1OYTsXj3wSUwc0ICB7yBV" TargetMode="External"/><Relationship Id="rId11" Type="http://schemas.openxmlformats.org/officeDocument/2006/relationships/hyperlink" Target="https://drive.google.com/open?id=1S0YtBdXfXWjYqTxy8kxIuaaS0AAAeU1s" TargetMode="External"/>
</Relationships>
</file>

<file path=xl/worksheets/_rels/sheet48.xml.rels><?xml version="1.0" encoding="UTF-8"?>
<Relationships xmlns="http://schemas.openxmlformats.org/package/2006/relationships"><Relationship Id="rId1" Type="http://schemas.openxmlformats.org/officeDocument/2006/relationships/hyperlink" Target="https://drive.google.com/open?id=1Tjkp_sAsUtC4MN_WBL-8EvE8jhVLuVvg" TargetMode="External"/><Relationship Id="rId2" Type="http://schemas.openxmlformats.org/officeDocument/2006/relationships/hyperlink" Target="https://drive.google.com/open?id=1gxEGqg7YeHDSD1Ccxx4qmEiWB2O4K6mW" TargetMode="External"/>
</Relationships>
</file>

<file path=xl/worksheets/_rels/sheet49.xml.rels><?xml version="1.0" encoding="UTF-8"?>
<Relationships xmlns="http://schemas.openxmlformats.org/package/2006/relationships"><Relationship Id="rId1" Type="http://schemas.openxmlformats.org/officeDocument/2006/relationships/hyperlink" Target="https://drive.google.com/open?id=1ei4y7LA4F4osxNiEc2mH0TZtS9aK5rlm" TargetMode="External"/><Relationship Id="rId2" Type="http://schemas.openxmlformats.org/officeDocument/2006/relationships/hyperlink" Target="https://drive.google.com/open?id=1cG9SFwg5RfKqCxk9iz3vj_POtzbvuVPU" TargetMode="External"/><Relationship Id="rId3" Type="http://schemas.openxmlformats.org/officeDocument/2006/relationships/hyperlink" Target="https://drive.google.com/open?id=1FsNvNsWZAX0Hpxk-K6oyi-pwaj03xmFf" TargetMode="External"/><Relationship Id="rId4" Type="http://schemas.openxmlformats.org/officeDocument/2006/relationships/hyperlink" Target="https://drive.google.com/open?id=17hWeHsilNJdy41AuZDRu1YNj21FRVIsg" TargetMode="External"/><Relationship Id="rId5" Type="http://schemas.openxmlformats.org/officeDocument/2006/relationships/hyperlink" Target="https://drive.google.com/open?id=1zgA5DSVYIqVgYI-Czwl9SQRBnHdkYSru" TargetMode="External"/><Relationship Id="rId6" Type="http://schemas.openxmlformats.org/officeDocument/2006/relationships/hyperlink" Target="https://drive.google.com/open?id=1nNTbTnk365PjYZ82usaT7Qq8r8RARqPY" TargetMode="External"/><Relationship Id="rId7" Type="http://schemas.openxmlformats.org/officeDocument/2006/relationships/hyperlink" Target="https://drive.google.com/open?id=1_KTKzl9Mx_Dn9OawptJToG7_0L4G3Zgl" TargetMode="External"/><Relationship Id="rId8" Type="http://schemas.openxmlformats.org/officeDocument/2006/relationships/hyperlink" Target="https://drive.google.com/open?id=1vacmO5CV8Eu8Ww-sFcI5M-Eta4IcX9iF" TargetMode="External"/><Relationship Id="rId9" Type="http://schemas.openxmlformats.org/officeDocument/2006/relationships/hyperlink" Target="https://drive.google.com/open?id=1YCx9dbWvoewSFwuFpKpfCsa7eoQpYsgO" TargetMode="External"/><Relationship Id="rId10" Type="http://schemas.openxmlformats.org/officeDocument/2006/relationships/hyperlink" Target="https://drive.google.com/open?id=1fbJmdMBtve8uMbHLEodw1dcHEfRgF3FJ" TargetMode="External"/><Relationship Id="rId11" Type="http://schemas.openxmlformats.org/officeDocument/2006/relationships/hyperlink" Target="https://drive.google.com/open?id=1gmrZ0dGU1G7HXpr2lX7g9ublWKUa-_fe" TargetMode="External"/><Relationship Id="rId12" Type="http://schemas.openxmlformats.org/officeDocument/2006/relationships/hyperlink" Target="https://drive.google.com/open?id=1JJCitjkANlPpne-ZPaH41BrGWVHegwYx" TargetMode="External"/><Relationship Id="rId13" Type="http://schemas.openxmlformats.org/officeDocument/2006/relationships/hyperlink" Target="https://drive.google.com/open?id=1-iE7qBNggZNbD9Fd4FBZ1SLJnSEedE1T" TargetMode="External"/><Relationship Id="rId14" Type="http://schemas.openxmlformats.org/officeDocument/2006/relationships/hyperlink" Target="https://drive.google.com/open?id=1ME1pV43m7Z35vnPZwS8Er3i2wI0juOiq" TargetMode="External"/>
</Relationships>
</file>

<file path=xl/worksheets/_rels/sheet50.xml.rels><?xml version="1.0" encoding="UTF-8"?>
<Relationships xmlns="http://schemas.openxmlformats.org/package/2006/relationships"><Relationship Id="rId1" Type="http://schemas.openxmlformats.org/officeDocument/2006/relationships/hyperlink" Target="https://drive.google.com/open?id=1USnTnSXwyTzDQrhg5RpygU-GiFhgGC4z" TargetMode="External"/><Relationship Id="rId2" Type="http://schemas.openxmlformats.org/officeDocument/2006/relationships/hyperlink" Target="https://drive.google.com/open?id=14WxVTYmyumBToZH3GQ2JXc4HrtsgMODP" TargetMode="External"/><Relationship Id="rId3" Type="http://schemas.openxmlformats.org/officeDocument/2006/relationships/hyperlink" Target="https://drive.google.com/open?id=1h_F3c8Pvmrlf5K3eAqqP06168Z8Nd0cP" TargetMode="External"/><Relationship Id="rId4" Type="http://schemas.openxmlformats.org/officeDocument/2006/relationships/hyperlink" Target="https://drive.google.com/open?id=1OMC-nD-X6i5xs208EcoeGYkCuG8pE1Sw" TargetMode="External"/><Relationship Id="rId5" Type="http://schemas.openxmlformats.org/officeDocument/2006/relationships/hyperlink" Target="https://drive.google.com/open?id=1x6CPdrm193aQXWsJjBLNuuxoS7_-oiMF" TargetMode="External"/><Relationship Id="rId6" Type="http://schemas.openxmlformats.org/officeDocument/2006/relationships/hyperlink" Target="https://drive.google.com/open?id=1-9BzY0f5wOTGzdJRQvOrAzIlgPHqqcPy" TargetMode="External"/><Relationship Id="rId7" Type="http://schemas.openxmlformats.org/officeDocument/2006/relationships/hyperlink" Target="https://drive.google.com/open?id=1UwcF_mD-Mddd2EjvsjQPRs5WUmdiF63S" TargetMode="External"/>
</Relationships>
</file>

<file path=xl/worksheets/_rels/sheet51.xml.rels><?xml version="1.0" encoding="UTF-8"?>
<Relationships xmlns="http://schemas.openxmlformats.org/package/2006/relationships"><Relationship Id="rId1" Type="http://schemas.openxmlformats.org/officeDocument/2006/relationships/hyperlink" Target="https://drive.google.com/open?id=1d4nOJn9abO4aCEVV0OKkqlS_DPoxhPI1" TargetMode="External"/><Relationship Id="rId2" Type="http://schemas.openxmlformats.org/officeDocument/2006/relationships/hyperlink" Target="https://drive.google.com/open?id=11VeXCXkEi8kqO1MtQnPzzI8LcPV9VMqp" TargetMode="External"/><Relationship Id="rId3" Type="http://schemas.openxmlformats.org/officeDocument/2006/relationships/hyperlink" Target="https://drive.google.com/open?id=1o7cfDiLiF6AIDiSEVbRRpWHJyVfsjrVH" TargetMode="External"/><Relationship Id="rId4" Type="http://schemas.openxmlformats.org/officeDocument/2006/relationships/hyperlink" Target="https://drive.google.com/open?id=1dserzHWyhPHkS5Uz5tMhDkksrZpEckp5" TargetMode="External"/><Relationship Id="rId5" Type="http://schemas.openxmlformats.org/officeDocument/2006/relationships/hyperlink" Target="https://drive.google.com/open?id=1rm7xpIRz8w39YLXJXDPAdfmqqacF8JLW" TargetMode="External"/><Relationship Id="rId6" Type="http://schemas.openxmlformats.org/officeDocument/2006/relationships/hyperlink" Target="https://drive.google.com/open?id=1ED3KM2oX4-6e8Iers9FbsczjyDW8hAzA" TargetMode="External"/><Relationship Id="rId7" Type="http://schemas.openxmlformats.org/officeDocument/2006/relationships/hyperlink" Target="https://drive.google.com/open?id=1KLSSKmGkMbNTQcZJ8eU9S-SH4s0HK-UC" TargetMode="External"/><Relationship Id="rId8" Type="http://schemas.openxmlformats.org/officeDocument/2006/relationships/hyperlink" Target="https://drive.google.com/open?id=1S76oKdztnkx6SziAcX-lSz4lR9B2K7gS" TargetMode="External"/><Relationship Id="rId9" Type="http://schemas.openxmlformats.org/officeDocument/2006/relationships/hyperlink" Target="https://drive.google.com/open?id=1-nPx2d4Oqh9Bt5sDN6h0v2PgDITYn5Hk" TargetMode="External"/><Relationship Id="rId10" Type="http://schemas.openxmlformats.org/officeDocument/2006/relationships/hyperlink" Target="https://drive.google.com/open?id=1s0b9D1NmA_8qQlYZaCFF69f9wMS-fK5H" TargetMode="External"/>
</Relationships>
</file>

<file path=xl/worksheets/_rels/sheet52.xml.rels><?xml version="1.0" encoding="UTF-8"?>
<Relationships xmlns="http://schemas.openxmlformats.org/package/2006/relationships"><Relationship Id="rId1" Type="http://schemas.openxmlformats.org/officeDocument/2006/relationships/hyperlink" Target="https://drive.google.com/open?id=19s76FJO8uCvAt9BeYAV3dx8BHwzCBOdU" TargetMode="External"/><Relationship Id="rId2" Type="http://schemas.openxmlformats.org/officeDocument/2006/relationships/hyperlink" Target="https://drive.google.com/open?id=1G7phH4xBi_ZD2xdSYK4lE7OpfqlHYBph" TargetMode="External"/>
</Relationships>
</file>

<file path=xl/worksheets/_rels/sheet53.xml.rels><?xml version="1.0" encoding="UTF-8"?>
<Relationships xmlns="http://schemas.openxmlformats.org/package/2006/relationships"><Relationship Id="rId1" Type="http://schemas.openxmlformats.org/officeDocument/2006/relationships/hyperlink" Target="https://drive.google.com/open?id=1T7B-WcgGEqQQ1oD6sAprSeJT0qeNPbGO" TargetMode="External"/><Relationship Id="rId2" Type="http://schemas.openxmlformats.org/officeDocument/2006/relationships/hyperlink" Target="https://drive.google.com/open?id=12F29Ufdi2tuCRwSeaR0ZvjgLnOgJKaS1" TargetMode="External"/><Relationship Id="rId3" Type="http://schemas.openxmlformats.org/officeDocument/2006/relationships/hyperlink" Target="https://drive.google.com/open?id=16L254wuAFnxr5F5WFfYQTyMNvjO88104" TargetMode="External"/><Relationship Id="rId4" Type="http://schemas.openxmlformats.org/officeDocument/2006/relationships/hyperlink" Target="https://drive.google.com/open?id=1bhTrUgQq2NkAiSjbvhJ8mdXX4GYKDXWr" TargetMode="External"/><Relationship Id="rId5" Type="http://schemas.openxmlformats.org/officeDocument/2006/relationships/hyperlink" Target="https://drive.google.com/open?id=1zMThgm1jlLybq5W3-fPEkD2qKOGiqpJu" TargetMode="External"/>
</Relationships>
</file>

<file path=xl/worksheets/_rels/sheet54.xml.rels><?xml version="1.0" encoding="UTF-8"?>
<Relationships xmlns="http://schemas.openxmlformats.org/package/2006/relationships"><Relationship Id="rId1" Type="http://schemas.openxmlformats.org/officeDocument/2006/relationships/hyperlink" Target="https://drive.google.com/open?id=1ImhsmZhwXz5_ywx748WG4o8FIDPaEZxH" TargetMode="External"/><Relationship Id="rId2" Type="http://schemas.openxmlformats.org/officeDocument/2006/relationships/hyperlink" Target="https://drive.google.com/open?id=1k5LnryQe2ykwTQYH8c9_BZE34N1zFor5" TargetMode="External"/><Relationship Id="rId3" Type="http://schemas.openxmlformats.org/officeDocument/2006/relationships/hyperlink" Target="https://drive.google.com/open?id=11vcmhGbnba87vNAY77K_mtrMcD0sllSp" TargetMode="External"/><Relationship Id="rId4" Type="http://schemas.openxmlformats.org/officeDocument/2006/relationships/hyperlink" Target="https://drive.google.com/open?id=1RgR8iXwR8S6IPzOBingb4UI74Pir13l1" TargetMode="External"/><Relationship Id="rId5" Type="http://schemas.openxmlformats.org/officeDocument/2006/relationships/hyperlink" Target="https://drive.google.com/open?id=1Y_nc2Mjn0SBIZi9bNw3A-l8nqvt5zsx_" TargetMode="External"/><Relationship Id="rId6" Type="http://schemas.openxmlformats.org/officeDocument/2006/relationships/hyperlink" Target="https://drive.google.com/open?id=1fKIYPobRwEuaFQP6-H1kxFuK58YKhk_A" TargetMode="External"/><Relationship Id="rId7" Type="http://schemas.openxmlformats.org/officeDocument/2006/relationships/hyperlink" Target="https://drive.google.com/open?id=17_ijv3nNzkIa0Rj4B_nXLZ2uKs7LBpQ9" TargetMode="External"/><Relationship Id="rId8" Type="http://schemas.openxmlformats.org/officeDocument/2006/relationships/hyperlink" Target="https://drive.google.com/open?id=1-ATpfxhavGyGxwQm_6q9Q98jpc-zuDCP" TargetMode="External"/><Relationship Id="rId9" Type="http://schemas.openxmlformats.org/officeDocument/2006/relationships/hyperlink" Target="https://drive.google.com/open?id=1qTB_hqOF8O5iJws4dOdOB4GO-4YQ37M1" TargetMode="External"/><Relationship Id="rId10" Type="http://schemas.openxmlformats.org/officeDocument/2006/relationships/hyperlink" Target="https://drive.google.com/open?id=1hyUxaBnNBVowab16amlZoabWFJyOoEnj" TargetMode="External"/><Relationship Id="rId11" Type="http://schemas.openxmlformats.org/officeDocument/2006/relationships/hyperlink" Target="https://drive.google.com/open?id=1p0eJyWL3A-yRWdZyPeMbTz-X9oIWLm0Z" TargetMode="External"/><Relationship Id="rId12" Type="http://schemas.openxmlformats.org/officeDocument/2006/relationships/hyperlink" Target="https://drive.google.com/open?id=1umlZHZBTCgle60g3Jk0nE1o_bhtNazUE" TargetMode="External"/><Relationship Id="rId13" Type="http://schemas.openxmlformats.org/officeDocument/2006/relationships/hyperlink" Target="https://drive.google.com/open?id=1rHkUGvZCTF8XWo0rTjGWQO2JZGs84zoN" TargetMode="External"/><Relationship Id="rId14" Type="http://schemas.openxmlformats.org/officeDocument/2006/relationships/hyperlink" Target="https://drive.google.com/open?id=1GRxap0rTNDDCBM64NLSmjuY9tp4vA7Iy" TargetMode="External"/><Relationship Id="rId15" Type="http://schemas.openxmlformats.org/officeDocument/2006/relationships/hyperlink" Target="https://drive.google.com/open?id=1aoGVs71oRlhuEZ1H3GHLzpz_lWC17vB3" TargetMode="External"/><Relationship Id="rId16" Type="http://schemas.openxmlformats.org/officeDocument/2006/relationships/hyperlink" Target="https://drive.google.com/open?id=1XkwDck9h5dlJC5cmkTD3zNZ6R6Uam8U_" TargetMode="External"/><Relationship Id="rId17" Type="http://schemas.openxmlformats.org/officeDocument/2006/relationships/hyperlink" Target="https://drive.google.com/open?id=11D0L58rZ1FggfMu5PmJSe_x3TG0yfBkx" TargetMode="External"/>
</Relationships>
</file>

<file path=xl/worksheets/_rels/sheet55.xml.rels><?xml version="1.0" encoding="UTF-8"?>
<Relationships xmlns="http://schemas.openxmlformats.org/package/2006/relationships"><Relationship Id="rId1" Type="http://schemas.openxmlformats.org/officeDocument/2006/relationships/hyperlink" Target="https://drive.google.com/open?id=1ki6aYfIf-Jrkv3GU_Y_-VxJxvzjkspFX" TargetMode="External"/><Relationship Id="rId2" Type="http://schemas.openxmlformats.org/officeDocument/2006/relationships/hyperlink" Target="https://drive.google.com/open?id=19o-xG-RXyOHXSaKCOMYUkgeKmJmDQM34" TargetMode="External"/><Relationship Id="rId3" Type="http://schemas.openxmlformats.org/officeDocument/2006/relationships/hyperlink" Target="https://drive.google.com/open?id=1B7XyThBFFsu1LwPQ00Vepapb5H7EBM1z" TargetMode="External"/><Relationship Id="rId4" Type="http://schemas.openxmlformats.org/officeDocument/2006/relationships/hyperlink" Target="https://drive.google.com/open?id=1xK03GvgNP2gxo8rQJPIwdlkZFYfidcPP" TargetMode="External"/><Relationship Id="rId5" Type="http://schemas.openxmlformats.org/officeDocument/2006/relationships/hyperlink" Target="https://drive.google.com/open?id=124IOGsUFH-Mf3qZ6d1lzwFO5208xxAjB" TargetMode="External"/>
</Relationships>
</file>

<file path=xl/worksheets/_rels/sheet56.xml.rels><?xml version="1.0" encoding="UTF-8"?>
<Relationships xmlns="http://schemas.openxmlformats.org/package/2006/relationships"><Relationship Id="rId1" Type="http://schemas.openxmlformats.org/officeDocument/2006/relationships/hyperlink" Target="https://drive.google.com/open?id=1NAZ8AtcSiG2vKVYQa0Wj85U8BVm7oRJR" TargetMode="External"/><Relationship Id="rId2" Type="http://schemas.openxmlformats.org/officeDocument/2006/relationships/hyperlink" Target="https://drive.google.com/open?id=1qNtp2x_453_09oqmZ_w7K2LRq7py1zFf" TargetMode="External"/><Relationship Id="rId3" Type="http://schemas.openxmlformats.org/officeDocument/2006/relationships/hyperlink" Target="https://drive.google.com/open?id=1sTNEq2nAqDAwAwNlt9lkCJgVM5XtKcWt" TargetMode="External"/><Relationship Id="rId4" Type="http://schemas.openxmlformats.org/officeDocument/2006/relationships/hyperlink" Target="https://drive.google.com/open?id=1-i1LzQiNZpfjdu-Hmkrp3YaQtoMYVVL_" TargetMode="External"/><Relationship Id="rId5" Type="http://schemas.openxmlformats.org/officeDocument/2006/relationships/hyperlink" Target="https://drive.google.com/open?id=1zoWjosWlOxLdAPKFnsgeUFQ8PaGZAGmL" TargetMode="External"/><Relationship Id="rId6" Type="http://schemas.openxmlformats.org/officeDocument/2006/relationships/hyperlink" Target="https://drive.google.com/open?id=1gBtF3nKChbFPEBgiErKzHDqFe3CJE4Th" TargetMode="External"/><Relationship Id="rId7" Type="http://schemas.openxmlformats.org/officeDocument/2006/relationships/hyperlink" Target="https://drive.google.com/open?id=1-twJn8m6j3IqEAMlDaKN_-sNOkuEJQHT" TargetMode="External"/><Relationship Id="rId8" Type="http://schemas.openxmlformats.org/officeDocument/2006/relationships/hyperlink" Target="https://drive.google.com/open?id=1o8L0iv9Ga9FzGHD2zkmDIFU2KVmokQNy" TargetMode="External"/><Relationship Id="rId9" Type="http://schemas.openxmlformats.org/officeDocument/2006/relationships/hyperlink" Target="https://drive.google.com/open?id=19xmVRVdPKbB2AO75gFu5LkDoqTAYenCl" TargetMode="External"/><Relationship Id="rId10" Type="http://schemas.openxmlformats.org/officeDocument/2006/relationships/hyperlink" Target="https://drive.google.com/open?id=1sFnbb0hEYPZfCTNZnLApm0zR-UURAacq" TargetMode="External"/><Relationship Id="rId11" Type="http://schemas.openxmlformats.org/officeDocument/2006/relationships/hyperlink" Target="https://drive.google.com/open?id=1reCG9gwJr2yznOku63GFmAC1ZmT46LTG" TargetMode="External"/><Relationship Id="rId12" Type="http://schemas.openxmlformats.org/officeDocument/2006/relationships/hyperlink" Target="https://drive.google.com/open?id=1oW7cyiD5gD2328EQSO6Sm5hgqSz4T_ez" TargetMode="External"/><Relationship Id="rId13" Type="http://schemas.openxmlformats.org/officeDocument/2006/relationships/hyperlink" Target="https://drive.google.com/open?id=1rNqTmfCXlA6D5GuszSC7SuKHecEQeafv" TargetMode="External"/><Relationship Id="rId14" Type="http://schemas.openxmlformats.org/officeDocument/2006/relationships/hyperlink" Target="https://drive.google.com/open?id=1BZKObiaBgC5qMBCCygoA6mXgzuC6euk_" TargetMode="External"/><Relationship Id="rId15" Type="http://schemas.openxmlformats.org/officeDocument/2006/relationships/hyperlink" Target="https://drive.google.com/open?id=13JOH8-ImuO0CZGN_maXWu0SX271k4zZj" TargetMode="External"/><Relationship Id="rId16" Type="http://schemas.openxmlformats.org/officeDocument/2006/relationships/hyperlink" Target="https://drive.google.com/open?id=1WdL7JOXj1Q4SOrkJcaqfOi5gV8vbeYqg" TargetMode="External"/><Relationship Id="rId17" Type="http://schemas.openxmlformats.org/officeDocument/2006/relationships/hyperlink" Target="https://drive.google.com/open?id=1sLS5tqupOQPq6ZM47BjAMAwWn74fYO9C" TargetMode="External"/><Relationship Id="rId18" Type="http://schemas.openxmlformats.org/officeDocument/2006/relationships/hyperlink" Target="https://drive.google.com/open?id=1202mb-0U2aCPW5dAJLiNhLtsMPR5bBB8" TargetMode="External"/><Relationship Id="rId19" Type="http://schemas.openxmlformats.org/officeDocument/2006/relationships/hyperlink" Target="https://drive.google.com/open?id=1bOvrKLsvWhgWGPT6EdAVgj1skx5mekb7" TargetMode="External"/><Relationship Id="rId20" Type="http://schemas.openxmlformats.org/officeDocument/2006/relationships/hyperlink" Target="https://drive.google.com/open?id=1oyaXD3jz87I8mRdl2Xu6t0ltN6gveRbk" TargetMode="External"/><Relationship Id="rId21" Type="http://schemas.openxmlformats.org/officeDocument/2006/relationships/hyperlink" Target="https://drive.google.com/open?id=1WV3hiKea6DVd7OTmGF0IvUnlh3kbHF6i" TargetMode="External"/><Relationship Id="rId22" Type="http://schemas.openxmlformats.org/officeDocument/2006/relationships/hyperlink" Target="https://drive.google.com/open?id=1AUkoWwAIob3UQNKVUIH-Ufp5lbaTcLRu" TargetMode="External"/><Relationship Id="rId23" Type="http://schemas.openxmlformats.org/officeDocument/2006/relationships/hyperlink" Target="https://drive.google.com/open?id=1yfYzaZI0GCL_t_3Jj-OIdZI9jfC8MeHn" TargetMode="External"/><Relationship Id="rId24" Type="http://schemas.openxmlformats.org/officeDocument/2006/relationships/hyperlink" Target="https://drive.google.com/open?id=1rJn5w7_uYdjVC1CAF83HqtNZMQgO3AhR" TargetMode="External"/><Relationship Id="rId25" Type="http://schemas.openxmlformats.org/officeDocument/2006/relationships/hyperlink" Target="https://drive.google.com/open?id=19AyTvn-67cYBlZZJRy-lcWLPKTH9VhUa" TargetMode="External"/><Relationship Id="rId26" Type="http://schemas.openxmlformats.org/officeDocument/2006/relationships/hyperlink" Target="https://drive.google.com/open?id=1416Ep0r0G2tHww5BDCUOszyl-ezn1Gme" TargetMode="External"/>
</Relationships>
</file>

<file path=xl/worksheets/_rels/sheet57.xml.rels><?xml version="1.0" encoding="UTF-8"?>
<Relationships xmlns="http://schemas.openxmlformats.org/package/2006/relationships"><Relationship Id="rId1" Type="http://schemas.openxmlformats.org/officeDocument/2006/relationships/hyperlink" Target="https://drive.google.com/open?id=1FdQg9KhT4ivIMFoldKJcx0jIle8ZWi5t" TargetMode="External"/><Relationship Id="rId2" Type="http://schemas.openxmlformats.org/officeDocument/2006/relationships/hyperlink" Target="https://drive.google.com/open?id=13hgVtZYZqy3lH-StBYEAaEXHiHERCe9r" TargetMode="External"/><Relationship Id="rId3" Type="http://schemas.openxmlformats.org/officeDocument/2006/relationships/hyperlink" Target="https://drive.google.com/open?id=1CRtk6TNcNElUxWC3pOdmYLKPJX936B7E" TargetMode="External"/><Relationship Id="rId4" Type="http://schemas.openxmlformats.org/officeDocument/2006/relationships/hyperlink" Target="https://drive.google.com/open?id=13tSj1lckHfNil8gpJXCeBtmVjqHjTD5A" TargetMode="External"/><Relationship Id="rId5" Type="http://schemas.openxmlformats.org/officeDocument/2006/relationships/hyperlink" Target="https://drive.google.com/open?id=1xqEgpuCoB8xFysOwPZcsiIMqknJ-qXGM" TargetMode="External"/><Relationship Id="rId6" Type="http://schemas.openxmlformats.org/officeDocument/2006/relationships/hyperlink" Target="https://drive.google.com/open?id=12wcMzoTPtzX0QXl-Gwx9PECxShnBofoL" TargetMode="External"/><Relationship Id="rId7" Type="http://schemas.openxmlformats.org/officeDocument/2006/relationships/hyperlink" Target="https://drive.google.com/open?id=1H3jK2yc_KOtHujCByUiDJq5EHr_NKKRn" TargetMode="External"/><Relationship Id="rId8" Type="http://schemas.openxmlformats.org/officeDocument/2006/relationships/hyperlink" Target="https://drive.google.com/open?id=1NDKCbXp41U4pJwg1ufvG7wc0lSKnbxCX" TargetMode="External"/><Relationship Id="rId9" Type="http://schemas.openxmlformats.org/officeDocument/2006/relationships/hyperlink" Target="https://drive.google.com/open?id=1YDrQiCkp7N6m7Iklm1mhnW1xmb0LgkSo" TargetMode="External"/><Relationship Id="rId10" Type="http://schemas.openxmlformats.org/officeDocument/2006/relationships/hyperlink" Target="https://drive.google.com/open?id=1pw4FQdFq8Jbifdey8XamgCiC1VM1oSlb" TargetMode="External"/>
</Relationships>
</file>

<file path=xl/worksheets/_rels/sheet59.xml.rels><?xml version="1.0" encoding="UTF-8"?>
<Relationships xmlns="http://schemas.openxmlformats.org/package/2006/relationships"><Relationship Id="rId1" Type="http://schemas.openxmlformats.org/officeDocument/2006/relationships/hyperlink" Target="https://drive.google.com/open?id=1X-S0Kd6pyRBG8yBaR33xFY_ClCJGfgBd" TargetMode="External"/><Relationship Id="rId2" Type="http://schemas.openxmlformats.org/officeDocument/2006/relationships/hyperlink" Target="https://drive.google.com/open?id=1oIaZV1qJp2XsMayWbteLP2rpqJLtfHA-" TargetMode="External"/><Relationship Id="rId3" Type="http://schemas.openxmlformats.org/officeDocument/2006/relationships/hyperlink" Target="https://drive.google.com/open?id=151xUbM66mvanixPf7F_SG1sgertO5ZXL" TargetMode="External"/>
</Relationships>
</file>

<file path=xl/worksheets/_rels/sheet60.xml.rels><?xml version="1.0" encoding="UTF-8"?>
<Relationships xmlns="http://schemas.openxmlformats.org/package/2006/relationships"><Relationship Id="rId1" Type="http://schemas.openxmlformats.org/officeDocument/2006/relationships/hyperlink" Target="https://drive.google.com/open?id=11AMyZmF-1CLmy3XcehwPXbhLyZSC89V9" TargetMode="External"/><Relationship Id="rId2" Type="http://schemas.openxmlformats.org/officeDocument/2006/relationships/hyperlink" Target="https://drive.google.com/open?id=1TM8TV_rxNFhKF4MJcy63cBGdEXCGvR8V" TargetMode="External"/><Relationship Id="rId3" Type="http://schemas.openxmlformats.org/officeDocument/2006/relationships/hyperlink" Target="https://drive.google.com/open?id=1nF5FzwYBah1778LK6R_w-VrtY7go6qJ9" TargetMode="External"/><Relationship Id="rId4" Type="http://schemas.openxmlformats.org/officeDocument/2006/relationships/hyperlink" Target="https://drive.google.com/open?id=1sflYQoIJmAenxrLW2hTJVWfzPmAgAJq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5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1" activeCellId="0" sqref="B1"/>
    </sheetView>
  </sheetViews>
  <sheetFormatPr defaultColWidth="12.58984375" defaultRowHeight="15" zeroHeight="false" outlineLevelRow="0" outlineLevelCol="0"/>
  <cols>
    <col collapsed="false" customWidth="true" hidden="false" outlineLevel="0" max="1" min="1" style="0" width="6.86"/>
    <col collapsed="false" customWidth="true" hidden="false" outlineLevel="0" max="2" min="2" style="0" width="10.99"/>
    <col collapsed="false" customWidth="true" hidden="false" outlineLevel="0" max="3" min="3" style="1" width="16.86"/>
    <col collapsed="false" customWidth="true" hidden="false" outlineLevel="0" max="4" min="4" style="0" width="13.14"/>
    <col collapsed="false" customWidth="true" hidden="false" outlineLevel="0" max="5" min="5" style="0" width="10.58"/>
    <col collapsed="false" customWidth="true" hidden="false" outlineLevel="0" max="6" min="6" style="0" width="10.85"/>
    <col collapsed="false" customWidth="true" hidden="false" outlineLevel="0" max="7" min="7" style="0" width="30.14"/>
    <col collapsed="false" customWidth="true" hidden="false" outlineLevel="0" max="8" min="8" style="0" width="30.43"/>
    <col collapsed="false" customWidth="true" hidden="false" outlineLevel="0" max="9" min="9" style="0" width="14.28"/>
    <col collapsed="false" customWidth="true" hidden="false" outlineLevel="0" max="10" min="10" style="0" width="10.85"/>
    <col collapsed="false" customWidth="true" hidden="false" outlineLevel="0" max="11" min="11" style="0" width="36.99"/>
    <col collapsed="false" customWidth="true" hidden="false" outlineLevel="0" max="12" min="12" style="0" width="10.58"/>
    <col collapsed="false" customWidth="true" hidden="false" outlineLevel="0" max="13" min="13" style="2" width="13.43"/>
  </cols>
  <sheetData>
    <row r="1" customFormat="false" ht="12.75" hidden="false" customHeight="false" outlineLevel="0" collapsed="false">
      <c r="A1" s="3" t="s">
        <v>0</v>
      </c>
      <c r="B1" s="3" t="s">
        <v>1</v>
      </c>
      <c r="C1" s="3" t="s">
        <v>2</v>
      </c>
      <c r="D1" s="3" t="s">
        <v>3</v>
      </c>
      <c r="E1" s="3" t="s">
        <v>4</v>
      </c>
      <c r="F1" s="3" t="s">
        <v>5</v>
      </c>
      <c r="G1" s="3" t="s">
        <v>6</v>
      </c>
      <c r="H1" s="3" t="s">
        <v>7</v>
      </c>
      <c r="I1" s="3" t="s">
        <v>8</v>
      </c>
      <c r="J1" s="3" t="s">
        <v>9</v>
      </c>
      <c r="K1" s="3" t="s">
        <v>10</v>
      </c>
      <c r="L1" s="3" t="s">
        <v>11</v>
      </c>
      <c r="M1" s="3" t="s">
        <v>12</v>
      </c>
    </row>
    <row r="2" customFormat="false" ht="66" hidden="false" customHeight="false" outlineLevel="0" collapsed="false">
      <c r="A2" s="4" t="n">
        <v>2020</v>
      </c>
      <c r="B2" s="1" t="s">
        <v>13</v>
      </c>
      <c r="C2" s="1" t="s">
        <v>14</v>
      </c>
      <c r="D2" s="1" t="s">
        <v>15</v>
      </c>
      <c r="E2" s="5" t="s">
        <v>16</v>
      </c>
      <c r="F2" s="6" t="s">
        <v>17</v>
      </c>
      <c r="G2" s="7" t="s">
        <v>18</v>
      </c>
      <c r="H2" s="7" t="s">
        <v>19</v>
      </c>
      <c r="I2" s="7" t="s">
        <v>20</v>
      </c>
      <c r="J2" s="8" t="s">
        <v>21</v>
      </c>
      <c r="K2" s="6" t="s">
        <v>22</v>
      </c>
      <c r="L2" s="9" t="s">
        <v>23</v>
      </c>
      <c r="M2" s="2" t="n">
        <v>44587</v>
      </c>
    </row>
    <row r="3" customFormat="false" ht="66" hidden="false" customHeight="false" outlineLevel="0" collapsed="false">
      <c r="A3" s="4" t="n">
        <v>2020</v>
      </c>
      <c r="B3" s="1" t="s">
        <v>13</v>
      </c>
      <c r="C3" s="1" t="s">
        <v>14</v>
      </c>
      <c r="D3" s="1" t="s">
        <v>15</v>
      </c>
      <c r="E3" s="5" t="s">
        <v>16</v>
      </c>
      <c r="F3" s="6" t="s">
        <v>17</v>
      </c>
      <c r="G3" s="7" t="s">
        <v>18</v>
      </c>
      <c r="H3" s="7" t="s">
        <v>19</v>
      </c>
      <c r="I3" s="7" t="s">
        <v>20</v>
      </c>
      <c r="J3" s="8" t="s">
        <v>24</v>
      </c>
      <c r="K3" s="6" t="s">
        <v>25</v>
      </c>
      <c r="L3" s="9" t="s">
        <v>23</v>
      </c>
      <c r="M3" s="2" t="n">
        <v>44587</v>
      </c>
    </row>
    <row r="4" customFormat="false" ht="66" hidden="false" customHeight="false" outlineLevel="0" collapsed="false">
      <c r="A4" s="4" t="n">
        <v>2020</v>
      </c>
      <c r="B4" s="1" t="s">
        <v>13</v>
      </c>
      <c r="C4" s="1" t="s">
        <v>14</v>
      </c>
      <c r="D4" s="1" t="s">
        <v>15</v>
      </c>
      <c r="E4" s="5" t="s">
        <v>16</v>
      </c>
      <c r="F4" s="6" t="s">
        <v>26</v>
      </c>
      <c r="G4" s="7" t="s">
        <v>27</v>
      </c>
      <c r="H4" s="7" t="s">
        <v>28</v>
      </c>
      <c r="I4" s="7" t="s">
        <v>20</v>
      </c>
      <c r="J4" s="8" t="s">
        <v>29</v>
      </c>
      <c r="K4" s="6" t="s">
        <v>30</v>
      </c>
      <c r="L4" s="9" t="s">
        <v>23</v>
      </c>
      <c r="M4" s="2" t="n">
        <v>44588</v>
      </c>
    </row>
    <row r="5" customFormat="false" ht="45" hidden="false" customHeight="false" outlineLevel="0" collapsed="false">
      <c r="A5" s="4" t="n">
        <v>2020</v>
      </c>
      <c r="B5" s="1" t="s">
        <v>13</v>
      </c>
      <c r="C5" s="1" t="s">
        <v>14</v>
      </c>
      <c r="D5" s="1" t="s">
        <v>15</v>
      </c>
      <c r="E5" s="5" t="s">
        <v>16</v>
      </c>
      <c r="F5" s="6" t="s">
        <v>31</v>
      </c>
      <c r="G5" s="7" t="s">
        <v>32</v>
      </c>
      <c r="H5" s="7" t="s">
        <v>33</v>
      </c>
      <c r="I5" s="7" t="s">
        <v>20</v>
      </c>
      <c r="J5" s="8" t="s">
        <v>34</v>
      </c>
      <c r="K5" s="6" t="s">
        <v>35</v>
      </c>
      <c r="L5" s="9" t="s">
        <v>23</v>
      </c>
      <c r="M5" s="2" t="n">
        <v>44588</v>
      </c>
    </row>
    <row r="6" customFormat="false" ht="36" hidden="false" customHeight="false" outlineLevel="0" collapsed="false">
      <c r="A6" s="4" t="n">
        <v>2020</v>
      </c>
      <c r="B6" s="1" t="s">
        <v>13</v>
      </c>
      <c r="C6" s="1" t="s">
        <v>14</v>
      </c>
      <c r="D6" s="1" t="s">
        <v>15</v>
      </c>
      <c r="E6" s="5" t="s">
        <v>16</v>
      </c>
      <c r="F6" s="6" t="s">
        <v>36</v>
      </c>
      <c r="G6" s="7" t="s">
        <v>37</v>
      </c>
      <c r="H6" s="7" t="s">
        <v>38</v>
      </c>
      <c r="I6" s="7" t="s">
        <v>20</v>
      </c>
      <c r="J6" s="8" t="s">
        <v>39</v>
      </c>
      <c r="K6" s="6" t="s">
        <v>40</v>
      </c>
      <c r="L6" s="9" t="s">
        <v>23</v>
      </c>
      <c r="M6" s="2" t="n">
        <v>44588</v>
      </c>
    </row>
    <row r="7" customFormat="false" ht="57.75" hidden="false" customHeight="false" outlineLevel="0" collapsed="false">
      <c r="A7" s="4" t="n">
        <v>2020</v>
      </c>
      <c r="B7" s="1" t="s">
        <v>13</v>
      </c>
      <c r="C7" s="1" t="s">
        <v>14</v>
      </c>
      <c r="D7" s="1" t="s">
        <v>15</v>
      </c>
      <c r="E7" s="5" t="s">
        <v>16</v>
      </c>
      <c r="F7" s="6" t="s">
        <v>41</v>
      </c>
      <c r="G7" s="7" t="s">
        <v>42</v>
      </c>
      <c r="H7" s="7" t="s">
        <v>43</v>
      </c>
      <c r="I7" s="7" t="s">
        <v>20</v>
      </c>
      <c r="J7" s="8" t="s">
        <v>44</v>
      </c>
      <c r="K7" s="6" t="s">
        <v>45</v>
      </c>
      <c r="L7" s="9" t="s">
        <v>23</v>
      </c>
      <c r="M7" s="2" t="n">
        <v>44588</v>
      </c>
    </row>
    <row r="8" customFormat="false" ht="57.75" hidden="false" customHeight="false" outlineLevel="0" collapsed="false">
      <c r="A8" s="1" t="n">
        <v>2020</v>
      </c>
      <c r="B8" s="1" t="s">
        <v>13</v>
      </c>
      <c r="C8" s="1" t="s">
        <v>14</v>
      </c>
      <c r="D8" s="1" t="s">
        <v>15</v>
      </c>
      <c r="E8" s="5" t="s">
        <v>16</v>
      </c>
      <c r="F8" s="6" t="s">
        <v>41</v>
      </c>
      <c r="G8" s="7" t="s">
        <v>42</v>
      </c>
      <c r="H8" s="7" t="s">
        <v>43</v>
      </c>
      <c r="I8" s="7" t="s">
        <v>20</v>
      </c>
      <c r="J8" s="8" t="s">
        <v>46</v>
      </c>
      <c r="K8" s="6" t="s">
        <v>47</v>
      </c>
      <c r="L8" s="9" t="s">
        <v>23</v>
      </c>
      <c r="M8" s="2" t="n">
        <v>44748</v>
      </c>
    </row>
    <row r="9" customFormat="false" ht="57.75" hidden="false" customHeight="false" outlineLevel="0" collapsed="false">
      <c r="A9" s="1" t="n">
        <v>2020</v>
      </c>
      <c r="B9" s="1" t="s">
        <v>13</v>
      </c>
      <c r="C9" s="1" t="s">
        <v>14</v>
      </c>
      <c r="D9" s="1" t="s">
        <v>15</v>
      </c>
      <c r="E9" s="5" t="s">
        <v>16</v>
      </c>
      <c r="F9" s="6" t="s">
        <v>41</v>
      </c>
      <c r="G9" s="7" t="s">
        <v>42</v>
      </c>
      <c r="H9" s="7" t="s">
        <v>43</v>
      </c>
      <c r="I9" s="7" t="s">
        <v>20</v>
      </c>
      <c r="J9" s="8" t="s">
        <v>48</v>
      </c>
      <c r="K9" s="6" t="s">
        <v>49</v>
      </c>
      <c r="L9" s="9" t="s">
        <v>23</v>
      </c>
      <c r="M9" s="2" t="n">
        <v>44748</v>
      </c>
    </row>
    <row r="10" customFormat="false" ht="45" hidden="false" customHeight="false" outlineLevel="0" collapsed="false">
      <c r="A10" s="4" t="n">
        <v>2020</v>
      </c>
      <c r="B10" s="1" t="s">
        <v>13</v>
      </c>
      <c r="C10" s="1" t="s">
        <v>14</v>
      </c>
      <c r="D10" s="1" t="s">
        <v>15</v>
      </c>
      <c r="E10" s="5" t="s">
        <v>16</v>
      </c>
      <c r="F10" s="6" t="s">
        <v>50</v>
      </c>
      <c r="G10" s="7" t="s">
        <v>51</v>
      </c>
      <c r="H10" s="7" t="s">
        <v>52</v>
      </c>
      <c r="I10" s="7" t="s">
        <v>20</v>
      </c>
      <c r="J10" s="8" t="s">
        <v>53</v>
      </c>
      <c r="K10" s="6" t="s">
        <v>54</v>
      </c>
      <c r="L10" s="9" t="s">
        <v>55</v>
      </c>
      <c r="M10" s="2" t="n">
        <v>45121</v>
      </c>
    </row>
    <row r="11" customFormat="false" ht="36" hidden="false" customHeight="false" outlineLevel="0" collapsed="false">
      <c r="A11" s="4" t="n">
        <v>2020</v>
      </c>
      <c r="B11" s="1" t="s">
        <v>13</v>
      </c>
      <c r="C11" s="1" t="s">
        <v>14</v>
      </c>
      <c r="D11" s="1" t="s">
        <v>15</v>
      </c>
      <c r="E11" s="5" t="s">
        <v>16</v>
      </c>
      <c r="F11" s="6" t="s">
        <v>56</v>
      </c>
      <c r="G11" s="7" t="s">
        <v>57</v>
      </c>
      <c r="H11" s="7" t="s">
        <v>58</v>
      </c>
      <c r="I11" s="7" t="s">
        <v>20</v>
      </c>
      <c r="J11" s="8" t="s">
        <v>59</v>
      </c>
      <c r="K11" s="6" t="s">
        <v>60</v>
      </c>
      <c r="L11" s="9" t="s">
        <v>23</v>
      </c>
      <c r="M11" s="2" t="n">
        <v>44657</v>
      </c>
    </row>
    <row r="12" customFormat="false" ht="33.75" hidden="false" customHeight="false" outlineLevel="0" collapsed="false">
      <c r="A12" s="4" t="n">
        <v>2020</v>
      </c>
      <c r="B12" s="1" t="s">
        <v>13</v>
      </c>
      <c r="C12" s="1" t="s">
        <v>14</v>
      </c>
      <c r="D12" s="1" t="s">
        <v>15</v>
      </c>
      <c r="E12" s="5" t="s">
        <v>16</v>
      </c>
      <c r="F12" s="6" t="s">
        <v>56</v>
      </c>
      <c r="G12" s="7" t="s">
        <v>57</v>
      </c>
      <c r="H12" s="7" t="s">
        <v>58</v>
      </c>
      <c r="I12" s="7" t="s">
        <v>20</v>
      </c>
      <c r="J12" s="8" t="s">
        <v>61</v>
      </c>
      <c r="K12" s="6" t="s">
        <v>62</v>
      </c>
      <c r="L12" s="9" t="s">
        <v>23</v>
      </c>
      <c r="M12" s="2" t="n">
        <v>44748</v>
      </c>
    </row>
    <row r="13" customFormat="false" ht="36" hidden="false" customHeight="false" outlineLevel="0" collapsed="false">
      <c r="A13" s="4" t="n">
        <v>2020</v>
      </c>
      <c r="B13" s="1" t="s">
        <v>13</v>
      </c>
      <c r="C13" s="1" t="s">
        <v>14</v>
      </c>
      <c r="D13" s="1" t="s">
        <v>15</v>
      </c>
      <c r="E13" s="5" t="s">
        <v>16</v>
      </c>
      <c r="F13" s="6" t="s">
        <v>63</v>
      </c>
      <c r="G13" s="7" t="s">
        <v>64</v>
      </c>
      <c r="H13" s="7" t="s">
        <v>65</v>
      </c>
      <c r="I13" s="7" t="s">
        <v>66</v>
      </c>
      <c r="J13" s="8" t="s">
        <v>67</v>
      </c>
      <c r="K13" s="6" t="s">
        <v>68</v>
      </c>
      <c r="L13" s="9" t="s">
        <v>23</v>
      </c>
      <c r="M13" s="2" t="n">
        <v>44588</v>
      </c>
    </row>
    <row r="14" customFormat="false" ht="74.25" hidden="false" customHeight="false" outlineLevel="0" collapsed="false">
      <c r="A14" s="4" t="n">
        <v>2020</v>
      </c>
      <c r="B14" s="1" t="s">
        <v>13</v>
      </c>
      <c r="C14" s="1" t="s">
        <v>14</v>
      </c>
      <c r="D14" s="1" t="s">
        <v>15</v>
      </c>
      <c r="E14" s="5" t="s">
        <v>16</v>
      </c>
      <c r="F14" s="6" t="s">
        <v>69</v>
      </c>
      <c r="G14" s="7" t="s">
        <v>70</v>
      </c>
      <c r="H14" s="7" t="s">
        <v>71</v>
      </c>
      <c r="I14" s="7" t="s">
        <v>20</v>
      </c>
      <c r="J14" s="8" t="s">
        <v>72</v>
      </c>
      <c r="K14" s="6" t="s">
        <v>73</v>
      </c>
      <c r="L14" s="9" t="s">
        <v>23</v>
      </c>
      <c r="M14" s="2" t="n">
        <v>44588</v>
      </c>
    </row>
    <row r="15" customFormat="false" ht="148.5" hidden="false" customHeight="false" outlineLevel="0" collapsed="false">
      <c r="A15" s="4" t="n">
        <v>2020</v>
      </c>
      <c r="B15" s="1" t="s">
        <v>13</v>
      </c>
      <c r="C15" s="1" t="s">
        <v>14</v>
      </c>
      <c r="D15" s="1" t="s">
        <v>15</v>
      </c>
      <c r="E15" s="5" t="s">
        <v>16</v>
      </c>
      <c r="F15" s="6" t="s">
        <v>74</v>
      </c>
      <c r="G15" s="7" t="s">
        <v>75</v>
      </c>
      <c r="H15" s="7" t="s">
        <v>76</v>
      </c>
      <c r="I15" s="7" t="s">
        <v>20</v>
      </c>
      <c r="J15" s="8" t="s">
        <v>77</v>
      </c>
      <c r="K15" s="6" t="s">
        <v>78</v>
      </c>
      <c r="L15" s="9" t="s">
        <v>23</v>
      </c>
      <c r="M15" s="2" t="n">
        <v>44838</v>
      </c>
    </row>
    <row r="16" customFormat="false" ht="148.5" hidden="false" customHeight="false" outlineLevel="0" collapsed="false">
      <c r="A16" s="4" t="n">
        <v>2020</v>
      </c>
      <c r="B16" s="1" t="s">
        <v>13</v>
      </c>
      <c r="C16" s="1" t="s">
        <v>14</v>
      </c>
      <c r="D16" s="1" t="s">
        <v>15</v>
      </c>
      <c r="E16" s="5" t="s">
        <v>16</v>
      </c>
      <c r="F16" s="6" t="s">
        <v>74</v>
      </c>
      <c r="G16" s="7" t="s">
        <v>75</v>
      </c>
      <c r="H16" s="7" t="s">
        <v>76</v>
      </c>
      <c r="I16" s="7" t="s">
        <v>20</v>
      </c>
      <c r="J16" s="8" t="s">
        <v>79</v>
      </c>
      <c r="K16" s="6" t="s">
        <v>80</v>
      </c>
      <c r="L16" s="9" t="s">
        <v>23</v>
      </c>
      <c r="M16" s="2" t="n">
        <v>44838</v>
      </c>
    </row>
    <row r="17" customFormat="false" ht="148.5" hidden="false" customHeight="false" outlineLevel="0" collapsed="false">
      <c r="A17" s="4" t="n">
        <v>2020</v>
      </c>
      <c r="B17" s="1" t="s">
        <v>13</v>
      </c>
      <c r="C17" s="1" t="s">
        <v>14</v>
      </c>
      <c r="D17" s="1" t="s">
        <v>15</v>
      </c>
      <c r="E17" s="5" t="s">
        <v>16</v>
      </c>
      <c r="F17" s="6" t="s">
        <v>74</v>
      </c>
      <c r="G17" s="7" t="s">
        <v>75</v>
      </c>
      <c r="H17" s="7" t="s">
        <v>76</v>
      </c>
      <c r="I17" s="7" t="s">
        <v>20</v>
      </c>
      <c r="J17" s="8" t="s">
        <v>81</v>
      </c>
      <c r="K17" s="6" t="s">
        <v>82</v>
      </c>
      <c r="L17" s="9" t="s">
        <v>23</v>
      </c>
      <c r="M17" s="2" t="n">
        <v>44748</v>
      </c>
    </row>
    <row r="18" customFormat="false" ht="82.5" hidden="false" customHeight="false" outlineLevel="0" collapsed="false">
      <c r="A18" s="4" t="n">
        <v>2020</v>
      </c>
      <c r="B18" s="1" t="s">
        <v>13</v>
      </c>
      <c r="C18" s="1" t="s">
        <v>14</v>
      </c>
      <c r="D18" s="1" t="s">
        <v>15</v>
      </c>
      <c r="E18" s="5" t="s">
        <v>16</v>
      </c>
      <c r="F18" s="6" t="s">
        <v>83</v>
      </c>
      <c r="G18" s="7" t="s">
        <v>84</v>
      </c>
      <c r="H18" s="7" t="s">
        <v>85</v>
      </c>
      <c r="I18" s="7" t="s">
        <v>20</v>
      </c>
      <c r="J18" s="8" t="s">
        <v>86</v>
      </c>
      <c r="K18" s="6" t="s">
        <v>87</v>
      </c>
      <c r="L18" s="9" t="s">
        <v>23</v>
      </c>
      <c r="M18" s="2" t="n">
        <v>44838</v>
      </c>
    </row>
    <row r="19" customFormat="false" ht="82.5" hidden="false" customHeight="false" outlineLevel="0" collapsed="false">
      <c r="A19" s="4" t="n">
        <v>2020</v>
      </c>
      <c r="B19" s="1" t="s">
        <v>13</v>
      </c>
      <c r="C19" s="1" t="s">
        <v>14</v>
      </c>
      <c r="D19" s="1" t="s">
        <v>15</v>
      </c>
      <c r="E19" s="5" t="s">
        <v>16</v>
      </c>
      <c r="F19" s="6" t="s">
        <v>83</v>
      </c>
      <c r="G19" s="7" t="s">
        <v>84</v>
      </c>
      <c r="H19" s="7" t="s">
        <v>85</v>
      </c>
      <c r="I19" s="7" t="s">
        <v>20</v>
      </c>
      <c r="J19" s="8" t="s">
        <v>88</v>
      </c>
      <c r="K19" s="6" t="s">
        <v>89</v>
      </c>
      <c r="L19" s="9" t="s">
        <v>23</v>
      </c>
      <c r="M19" s="2" t="n">
        <v>44838</v>
      </c>
    </row>
    <row r="20" customFormat="false" ht="82.5" hidden="false" customHeight="false" outlineLevel="0" collapsed="false">
      <c r="A20" s="4" t="n">
        <v>2020</v>
      </c>
      <c r="B20" s="1" t="s">
        <v>13</v>
      </c>
      <c r="C20" s="1" t="s">
        <v>14</v>
      </c>
      <c r="D20" s="1" t="s">
        <v>15</v>
      </c>
      <c r="E20" s="5" t="s">
        <v>16</v>
      </c>
      <c r="F20" s="6" t="s">
        <v>83</v>
      </c>
      <c r="G20" s="7" t="s">
        <v>84</v>
      </c>
      <c r="H20" s="7" t="s">
        <v>85</v>
      </c>
      <c r="I20" s="7" t="s">
        <v>20</v>
      </c>
      <c r="J20" s="8" t="s">
        <v>90</v>
      </c>
      <c r="K20" s="6" t="s">
        <v>91</v>
      </c>
      <c r="L20" s="9" t="s">
        <v>23</v>
      </c>
      <c r="M20" s="2" t="n">
        <v>44838</v>
      </c>
    </row>
    <row r="21" customFormat="false" ht="189.75" hidden="false" customHeight="false" outlineLevel="0" collapsed="false">
      <c r="A21" s="4" t="n">
        <v>2020</v>
      </c>
      <c r="B21" s="1" t="s">
        <v>13</v>
      </c>
      <c r="C21" s="1" t="s">
        <v>14</v>
      </c>
      <c r="D21" s="1" t="s">
        <v>15</v>
      </c>
      <c r="E21" s="5" t="s">
        <v>16</v>
      </c>
      <c r="F21" s="6" t="s">
        <v>92</v>
      </c>
      <c r="G21" s="7" t="s">
        <v>93</v>
      </c>
      <c r="H21" s="7" t="s">
        <v>28</v>
      </c>
      <c r="I21" s="7" t="s">
        <v>20</v>
      </c>
      <c r="J21" s="8" t="s">
        <v>94</v>
      </c>
      <c r="K21" s="6" t="s">
        <v>95</v>
      </c>
      <c r="L21" s="9" t="s">
        <v>23</v>
      </c>
      <c r="M21" s="2" t="n">
        <v>44587</v>
      </c>
    </row>
    <row r="22" customFormat="false" ht="107.25" hidden="false" customHeight="false" outlineLevel="0" collapsed="false">
      <c r="A22" s="4" t="n">
        <v>2020</v>
      </c>
      <c r="B22" s="1" t="s">
        <v>13</v>
      </c>
      <c r="C22" s="1" t="s">
        <v>14</v>
      </c>
      <c r="D22" s="1" t="s">
        <v>15</v>
      </c>
      <c r="E22" s="5" t="s">
        <v>16</v>
      </c>
      <c r="F22" s="6" t="s">
        <v>96</v>
      </c>
      <c r="G22" s="7" t="s">
        <v>97</v>
      </c>
      <c r="H22" s="7" t="s">
        <v>98</v>
      </c>
      <c r="I22" s="7" t="s">
        <v>20</v>
      </c>
      <c r="J22" s="8" t="s">
        <v>99</v>
      </c>
      <c r="K22" s="6" t="s">
        <v>100</v>
      </c>
      <c r="L22" s="9" t="s">
        <v>55</v>
      </c>
      <c r="M22" s="2" t="n">
        <v>45120</v>
      </c>
    </row>
    <row r="23" customFormat="false" ht="107.25" hidden="false" customHeight="false" outlineLevel="0" collapsed="false">
      <c r="A23" s="4" t="n">
        <v>2020</v>
      </c>
      <c r="B23" s="1" t="s">
        <v>13</v>
      </c>
      <c r="C23" s="1" t="s">
        <v>14</v>
      </c>
      <c r="D23" s="1" t="s">
        <v>15</v>
      </c>
      <c r="E23" s="5" t="s">
        <v>16</v>
      </c>
      <c r="F23" s="6" t="s">
        <v>96</v>
      </c>
      <c r="G23" s="7" t="s">
        <v>97</v>
      </c>
      <c r="H23" s="7" t="s">
        <v>98</v>
      </c>
      <c r="I23" s="7" t="s">
        <v>20</v>
      </c>
      <c r="J23" s="8" t="s">
        <v>101</v>
      </c>
      <c r="K23" s="6" t="s">
        <v>102</v>
      </c>
      <c r="L23" s="9" t="s">
        <v>55</v>
      </c>
      <c r="M23" s="2" t="n">
        <v>45120</v>
      </c>
    </row>
    <row r="24" customFormat="false" ht="107.25" hidden="false" customHeight="false" outlineLevel="0" collapsed="false">
      <c r="A24" s="4" t="n">
        <v>2020</v>
      </c>
      <c r="B24" s="1" t="s">
        <v>13</v>
      </c>
      <c r="C24" s="1" t="s">
        <v>14</v>
      </c>
      <c r="D24" s="1" t="s">
        <v>15</v>
      </c>
      <c r="E24" s="5" t="s">
        <v>16</v>
      </c>
      <c r="F24" s="6" t="s">
        <v>96</v>
      </c>
      <c r="G24" s="7" t="s">
        <v>97</v>
      </c>
      <c r="H24" s="7" t="s">
        <v>98</v>
      </c>
      <c r="I24" s="7" t="s">
        <v>20</v>
      </c>
      <c r="J24" s="8" t="s">
        <v>103</v>
      </c>
      <c r="K24" s="6" t="s">
        <v>104</v>
      </c>
      <c r="L24" s="9" t="s">
        <v>55</v>
      </c>
      <c r="M24" s="2" t="n">
        <v>45120</v>
      </c>
    </row>
    <row r="25" customFormat="false" ht="49.5" hidden="false" customHeight="false" outlineLevel="0" collapsed="false">
      <c r="A25" s="4" t="n">
        <v>2020</v>
      </c>
      <c r="B25" s="1" t="s">
        <v>13</v>
      </c>
      <c r="C25" s="1" t="s">
        <v>14</v>
      </c>
      <c r="D25" s="1" t="s">
        <v>15</v>
      </c>
      <c r="E25" s="5" t="s">
        <v>16</v>
      </c>
      <c r="F25" s="6" t="s">
        <v>105</v>
      </c>
      <c r="G25" s="7" t="s">
        <v>106</v>
      </c>
      <c r="H25" s="7" t="s">
        <v>107</v>
      </c>
      <c r="I25" s="7" t="s">
        <v>20</v>
      </c>
      <c r="J25" s="8" t="s">
        <v>108</v>
      </c>
      <c r="K25" s="6" t="s">
        <v>109</v>
      </c>
      <c r="L25" s="9" t="s">
        <v>23</v>
      </c>
      <c r="M25" s="2" t="n">
        <v>44518</v>
      </c>
    </row>
    <row r="26" customFormat="false" ht="107.25" hidden="false" customHeight="false" outlineLevel="0" collapsed="false">
      <c r="A26" s="4" t="n">
        <v>2020</v>
      </c>
      <c r="B26" s="1" t="s">
        <v>13</v>
      </c>
      <c r="C26" s="1" t="s">
        <v>14</v>
      </c>
      <c r="D26" s="1" t="s">
        <v>15</v>
      </c>
      <c r="E26" s="5" t="s">
        <v>16</v>
      </c>
      <c r="F26" s="6" t="s">
        <v>110</v>
      </c>
      <c r="G26" s="7" t="s">
        <v>111</v>
      </c>
      <c r="H26" s="7" t="s">
        <v>112</v>
      </c>
      <c r="I26" s="7" t="s">
        <v>20</v>
      </c>
      <c r="J26" s="8" t="s">
        <v>113</v>
      </c>
      <c r="K26" s="6" t="s">
        <v>114</v>
      </c>
      <c r="L26" s="9" t="s">
        <v>23</v>
      </c>
      <c r="M26" s="2" t="n">
        <v>44526</v>
      </c>
    </row>
    <row r="27" customFormat="false" ht="107.25" hidden="false" customHeight="false" outlineLevel="0" collapsed="false">
      <c r="A27" s="4" t="n">
        <v>2020</v>
      </c>
      <c r="B27" s="1" t="s">
        <v>13</v>
      </c>
      <c r="C27" s="1" t="s">
        <v>14</v>
      </c>
      <c r="D27" s="1" t="s">
        <v>15</v>
      </c>
      <c r="E27" s="5" t="s">
        <v>16</v>
      </c>
      <c r="F27" s="6" t="s">
        <v>110</v>
      </c>
      <c r="G27" s="7" t="s">
        <v>111</v>
      </c>
      <c r="H27" s="7" t="s">
        <v>112</v>
      </c>
      <c r="I27" s="7" t="s">
        <v>20</v>
      </c>
      <c r="J27" s="8" t="s">
        <v>115</v>
      </c>
      <c r="K27" s="6" t="s">
        <v>116</v>
      </c>
      <c r="L27" s="9" t="s">
        <v>23</v>
      </c>
      <c r="M27" s="2" t="n">
        <v>44526</v>
      </c>
    </row>
    <row r="28" customFormat="false" ht="49.5" hidden="false" customHeight="false" outlineLevel="0" collapsed="false">
      <c r="A28" s="4" t="n">
        <v>2020</v>
      </c>
      <c r="B28" s="1" t="s">
        <v>13</v>
      </c>
      <c r="C28" s="1" t="s">
        <v>14</v>
      </c>
      <c r="D28" s="1" t="s">
        <v>15</v>
      </c>
      <c r="E28" s="5" t="s">
        <v>16</v>
      </c>
      <c r="F28" s="6" t="s">
        <v>117</v>
      </c>
      <c r="G28" s="7" t="s">
        <v>118</v>
      </c>
      <c r="H28" s="7" t="s">
        <v>119</v>
      </c>
      <c r="I28" s="7" t="s">
        <v>20</v>
      </c>
      <c r="J28" s="8" t="s">
        <v>120</v>
      </c>
      <c r="K28" s="6" t="s">
        <v>121</v>
      </c>
      <c r="L28" s="9" t="s">
        <v>23</v>
      </c>
      <c r="M28" s="2" t="n">
        <v>44526</v>
      </c>
    </row>
    <row r="29" customFormat="false" ht="49.5" hidden="false" customHeight="false" outlineLevel="0" collapsed="false">
      <c r="A29" s="4" t="n">
        <v>2020</v>
      </c>
      <c r="B29" s="1" t="s">
        <v>13</v>
      </c>
      <c r="C29" s="1" t="s">
        <v>14</v>
      </c>
      <c r="D29" s="1" t="s">
        <v>15</v>
      </c>
      <c r="E29" s="5" t="s">
        <v>16</v>
      </c>
      <c r="F29" s="6" t="s">
        <v>117</v>
      </c>
      <c r="G29" s="7" t="s">
        <v>118</v>
      </c>
      <c r="H29" s="7" t="s">
        <v>119</v>
      </c>
      <c r="I29" s="7" t="s">
        <v>20</v>
      </c>
      <c r="J29" s="8" t="s">
        <v>122</v>
      </c>
      <c r="K29" s="6" t="s">
        <v>123</v>
      </c>
      <c r="L29" s="9" t="s">
        <v>23</v>
      </c>
      <c r="M29" s="2" t="n">
        <v>44526</v>
      </c>
    </row>
    <row r="30" customFormat="false" ht="57.75" hidden="false" customHeight="false" outlineLevel="0" collapsed="false">
      <c r="A30" s="4" t="n">
        <v>2020</v>
      </c>
      <c r="B30" s="1" t="s">
        <v>13</v>
      </c>
      <c r="C30" s="1" t="s">
        <v>14</v>
      </c>
      <c r="D30" s="1" t="s">
        <v>15</v>
      </c>
      <c r="E30" s="5" t="s">
        <v>16</v>
      </c>
      <c r="F30" s="6" t="s">
        <v>124</v>
      </c>
      <c r="G30" s="7" t="s">
        <v>125</v>
      </c>
      <c r="H30" s="7" t="s">
        <v>126</v>
      </c>
      <c r="I30" s="7" t="s">
        <v>20</v>
      </c>
      <c r="J30" s="8" t="s">
        <v>127</v>
      </c>
      <c r="K30" s="6" t="s">
        <v>128</v>
      </c>
      <c r="L30" s="9" t="s">
        <v>23</v>
      </c>
      <c r="M30" s="2" t="n">
        <v>44657</v>
      </c>
    </row>
    <row r="31" customFormat="false" ht="45" hidden="false" customHeight="false" outlineLevel="0" collapsed="false">
      <c r="A31" s="4" t="n">
        <v>2020</v>
      </c>
      <c r="B31" s="1" t="s">
        <v>13</v>
      </c>
      <c r="C31" s="1" t="s">
        <v>14</v>
      </c>
      <c r="D31" s="1" t="s">
        <v>15</v>
      </c>
      <c r="E31" s="5" t="s">
        <v>16</v>
      </c>
      <c r="F31" s="6" t="s">
        <v>129</v>
      </c>
      <c r="G31" s="7" t="s">
        <v>130</v>
      </c>
      <c r="H31" s="7" t="s">
        <v>131</v>
      </c>
      <c r="I31" s="7" t="s">
        <v>20</v>
      </c>
      <c r="J31" s="8" t="s">
        <v>132</v>
      </c>
      <c r="K31" s="6" t="s">
        <v>133</v>
      </c>
      <c r="L31" s="9" t="s">
        <v>23</v>
      </c>
      <c r="M31" s="2" t="n">
        <v>44526</v>
      </c>
    </row>
    <row r="32" customFormat="false" ht="107.25" hidden="false" customHeight="false" outlineLevel="0" collapsed="false">
      <c r="A32" s="4" t="n">
        <v>2020</v>
      </c>
      <c r="B32" s="1" t="s">
        <v>13</v>
      </c>
      <c r="C32" s="1" t="s">
        <v>14</v>
      </c>
      <c r="D32" s="1" t="s">
        <v>15</v>
      </c>
      <c r="E32" s="5" t="s">
        <v>16</v>
      </c>
      <c r="F32" s="6" t="s">
        <v>134</v>
      </c>
      <c r="G32" s="7" t="s">
        <v>135</v>
      </c>
      <c r="H32" s="7" t="s">
        <v>112</v>
      </c>
      <c r="I32" s="7" t="s">
        <v>20</v>
      </c>
      <c r="J32" s="8" t="s">
        <v>136</v>
      </c>
      <c r="K32" s="6" t="s">
        <v>137</v>
      </c>
      <c r="L32" s="9" t="s">
        <v>23</v>
      </c>
      <c r="M32" s="2" t="n">
        <v>44526</v>
      </c>
    </row>
    <row r="33" customFormat="false" ht="45" hidden="false" customHeight="false" outlineLevel="0" collapsed="false">
      <c r="A33" s="4" t="n">
        <v>2020</v>
      </c>
      <c r="B33" s="1" t="s">
        <v>13</v>
      </c>
      <c r="C33" s="1" t="s">
        <v>14</v>
      </c>
      <c r="D33" s="1" t="s">
        <v>15</v>
      </c>
      <c r="E33" s="5" t="s">
        <v>16</v>
      </c>
      <c r="F33" s="6" t="s">
        <v>138</v>
      </c>
      <c r="G33" s="7" t="s">
        <v>139</v>
      </c>
      <c r="H33" s="7" t="s">
        <v>140</v>
      </c>
      <c r="I33" s="7" t="s">
        <v>20</v>
      </c>
      <c r="J33" s="8" t="s">
        <v>141</v>
      </c>
      <c r="K33" s="6" t="s">
        <v>142</v>
      </c>
      <c r="L33" s="9" t="s">
        <v>23</v>
      </c>
      <c r="M33" s="2" t="n">
        <v>44657</v>
      </c>
    </row>
    <row r="34" customFormat="false" ht="99" hidden="false" customHeight="false" outlineLevel="0" collapsed="false">
      <c r="A34" s="4" t="n">
        <v>2020</v>
      </c>
      <c r="B34" s="1" t="s">
        <v>13</v>
      </c>
      <c r="C34" s="1" t="s">
        <v>14</v>
      </c>
      <c r="D34" s="1" t="s">
        <v>15</v>
      </c>
      <c r="E34" s="5" t="s">
        <v>16</v>
      </c>
      <c r="F34" s="6" t="s">
        <v>143</v>
      </c>
      <c r="G34" s="7" t="s">
        <v>144</v>
      </c>
      <c r="H34" s="7" t="s">
        <v>145</v>
      </c>
      <c r="I34" s="7" t="s">
        <v>20</v>
      </c>
      <c r="J34" s="8" t="s">
        <v>146</v>
      </c>
      <c r="K34" s="6" t="s">
        <v>147</v>
      </c>
      <c r="L34" s="9" t="s">
        <v>23</v>
      </c>
      <c r="M34" s="2" t="n">
        <v>44657</v>
      </c>
    </row>
    <row r="35" customFormat="false" ht="82.5" hidden="false" customHeight="false" outlineLevel="0" collapsed="false">
      <c r="A35" s="4" t="n">
        <v>2020</v>
      </c>
      <c r="B35" s="1" t="s">
        <v>13</v>
      </c>
      <c r="C35" s="1" t="s">
        <v>14</v>
      </c>
      <c r="D35" s="1" t="s">
        <v>15</v>
      </c>
      <c r="E35" s="5" t="s">
        <v>16</v>
      </c>
      <c r="F35" s="6" t="s">
        <v>148</v>
      </c>
      <c r="G35" s="7" t="s">
        <v>149</v>
      </c>
      <c r="H35" s="7" t="s">
        <v>150</v>
      </c>
      <c r="I35" s="7" t="s">
        <v>20</v>
      </c>
      <c r="J35" s="8" t="s">
        <v>151</v>
      </c>
      <c r="K35" s="6" t="s">
        <v>152</v>
      </c>
      <c r="L35" s="9" t="s">
        <v>23</v>
      </c>
      <c r="M35" s="2" t="n">
        <v>44588</v>
      </c>
    </row>
    <row r="36" customFormat="false" ht="54" hidden="false" customHeight="false" outlineLevel="0" collapsed="false">
      <c r="A36" s="4" t="n">
        <v>2020</v>
      </c>
      <c r="B36" s="1" t="s">
        <v>13</v>
      </c>
      <c r="C36" s="1" t="s">
        <v>14</v>
      </c>
      <c r="D36" s="1" t="s">
        <v>15</v>
      </c>
      <c r="E36" s="5" t="s">
        <v>16</v>
      </c>
      <c r="F36" s="6" t="s">
        <v>153</v>
      </c>
      <c r="G36" s="7" t="s">
        <v>154</v>
      </c>
      <c r="H36" s="7" t="s">
        <v>155</v>
      </c>
      <c r="I36" s="7" t="s">
        <v>20</v>
      </c>
      <c r="J36" s="8" t="s">
        <v>156</v>
      </c>
      <c r="K36" s="6" t="s">
        <v>157</v>
      </c>
      <c r="L36" s="9" t="s">
        <v>23</v>
      </c>
      <c r="M36" s="2" t="n">
        <v>45120</v>
      </c>
    </row>
    <row r="37" customFormat="false" ht="33.75" hidden="false" customHeight="false" outlineLevel="0" collapsed="false">
      <c r="A37" s="4" t="n">
        <v>2020</v>
      </c>
      <c r="B37" s="1" t="s">
        <v>13</v>
      </c>
      <c r="C37" s="1" t="s">
        <v>14</v>
      </c>
      <c r="D37" s="1" t="s">
        <v>15</v>
      </c>
      <c r="E37" s="5" t="s">
        <v>16</v>
      </c>
      <c r="F37" s="6" t="s">
        <v>153</v>
      </c>
      <c r="G37" s="7" t="s">
        <v>154</v>
      </c>
      <c r="H37" s="7" t="s">
        <v>155</v>
      </c>
      <c r="I37" s="7" t="s">
        <v>20</v>
      </c>
      <c r="J37" s="8" t="s">
        <v>158</v>
      </c>
      <c r="K37" s="6" t="s">
        <v>159</v>
      </c>
      <c r="L37" s="9" t="s">
        <v>23</v>
      </c>
      <c r="M37" s="2" t="n">
        <v>44588</v>
      </c>
    </row>
    <row r="38" customFormat="false" ht="33.75" hidden="false" customHeight="false" outlineLevel="0" collapsed="false">
      <c r="A38" s="4" t="n">
        <v>2020</v>
      </c>
      <c r="B38" s="1" t="s">
        <v>13</v>
      </c>
      <c r="C38" s="1" t="s">
        <v>14</v>
      </c>
      <c r="D38" s="1" t="s">
        <v>15</v>
      </c>
      <c r="E38" s="5" t="s">
        <v>16</v>
      </c>
      <c r="F38" s="6" t="s">
        <v>153</v>
      </c>
      <c r="G38" s="7" t="s">
        <v>154</v>
      </c>
      <c r="H38" s="7" t="s">
        <v>155</v>
      </c>
      <c r="I38" s="7" t="s">
        <v>20</v>
      </c>
      <c r="J38" s="8" t="s">
        <v>160</v>
      </c>
      <c r="K38" s="6" t="s">
        <v>161</v>
      </c>
      <c r="L38" s="9" t="s">
        <v>55</v>
      </c>
      <c r="M38" s="2" t="n">
        <v>45120</v>
      </c>
    </row>
    <row r="39" customFormat="false" ht="45" hidden="false" customHeight="false" outlineLevel="0" collapsed="false">
      <c r="A39" s="4" t="n">
        <v>2020</v>
      </c>
      <c r="B39" s="1" t="s">
        <v>13</v>
      </c>
      <c r="C39" s="1" t="s">
        <v>14</v>
      </c>
      <c r="D39" s="1" t="s">
        <v>15</v>
      </c>
      <c r="E39" s="5" t="s">
        <v>16</v>
      </c>
      <c r="F39" s="6" t="s">
        <v>162</v>
      </c>
      <c r="G39" s="7" t="s">
        <v>163</v>
      </c>
      <c r="H39" s="7" t="s">
        <v>164</v>
      </c>
      <c r="I39" s="7" t="s">
        <v>20</v>
      </c>
      <c r="J39" s="8" t="s">
        <v>165</v>
      </c>
      <c r="K39" s="6" t="s">
        <v>166</v>
      </c>
      <c r="L39" s="9" t="s">
        <v>23</v>
      </c>
      <c r="M39" s="2" t="n">
        <v>44588</v>
      </c>
    </row>
    <row r="40" customFormat="false" ht="115.5" hidden="false" customHeight="false" outlineLevel="0" collapsed="false">
      <c r="A40" s="4" t="n">
        <v>2020</v>
      </c>
      <c r="B40" s="1" t="s">
        <v>13</v>
      </c>
      <c r="C40" s="1" t="s">
        <v>14</v>
      </c>
      <c r="D40" s="1" t="s">
        <v>15</v>
      </c>
      <c r="E40" s="5" t="s">
        <v>16</v>
      </c>
      <c r="F40" s="6" t="s">
        <v>167</v>
      </c>
      <c r="G40" s="7" t="s">
        <v>168</v>
      </c>
      <c r="H40" s="7" t="s">
        <v>28</v>
      </c>
      <c r="I40" s="7" t="s">
        <v>20</v>
      </c>
      <c r="J40" s="8" t="s">
        <v>169</v>
      </c>
      <c r="K40" s="6" t="s">
        <v>170</v>
      </c>
      <c r="L40" s="9" t="s">
        <v>23</v>
      </c>
      <c r="M40" s="2" t="n">
        <v>44657</v>
      </c>
    </row>
    <row r="41" customFormat="false" ht="63" hidden="false" customHeight="false" outlineLevel="0" collapsed="false">
      <c r="A41" s="4" t="n">
        <v>2020</v>
      </c>
      <c r="B41" s="1" t="s">
        <v>13</v>
      </c>
      <c r="C41" s="1" t="s">
        <v>14</v>
      </c>
      <c r="D41" s="1" t="s">
        <v>15</v>
      </c>
      <c r="E41" s="5" t="s">
        <v>16</v>
      </c>
      <c r="F41" s="6" t="s">
        <v>171</v>
      </c>
      <c r="G41" s="7" t="s">
        <v>172</v>
      </c>
      <c r="H41" s="7" t="s">
        <v>173</v>
      </c>
      <c r="I41" s="7" t="s">
        <v>20</v>
      </c>
      <c r="J41" s="8" t="s">
        <v>174</v>
      </c>
      <c r="K41" s="6" t="s">
        <v>175</v>
      </c>
      <c r="L41" s="9" t="s">
        <v>23</v>
      </c>
      <c r="M41" s="2" t="n">
        <v>44657</v>
      </c>
    </row>
    <row r="42" customFormat="false" ht="74.25" hidden="false" customHeight="false" outlineLevel="0" collapsed="false">
      <c r="A42" s="4" t="n">
        <v>2020</v>
      </c>
      <c r="B42" s="1" t="s">
        <v>13</v>
      </c>
      <c r="C42" s="1" t="s">
        <v>14</v>
      </c>
      <c r="D42" s="1" t="s">
        <v>15</v>
      </c>
      <c r="E42" s="5" t="s">
        <v>16</v>
      </c>
      <c r="F42" s="6" t="s">
        <v>176</v>
      </c>
      <c r="G42" s="7" t="s">
        <v>177</v>
      </c>
      <c r="H42" s="7" t="s">
        <v>178</v>
      </c>
      <c r="I42" s="7" t="s">
        <v>20</v>
      </c>
      <c r="J42" s="8" t="s">
        <v>179</v>
      </c>
      <c r="K42" s="6" t="s">
        <v>180</v>
      </c>
      <c r="L42" s="9" t="s">
        <v>23</v>
      </c>
      <c r="M42" s="2" t="n">
        <v>44588</v>
      </c>
    </row>
    <row r="43" customFormat="false" ht="74.25" hidden="false" customHeight="false" outlineLevel="0" collapsed="false">
      <c r="A43" s="4" t="n">
        <v>2020</v>
      </c>
      <c r="B43" s="1" t="s">
        <v>13</v>
      </c>
      <c r="C43" s="1" t="s">
        <v>14</v>
      </c>
      <c r="D43" s="1" t="s">
        <v>15</v>
      </c>
      <c r="E43" s="5" t="s">
        <v>16</v>
      </c>
      <c r="F43" s="6" t="s">
        <v>176</v>
      </c>
      <c r="G43" s="7" t="s">
        <v>177</v>
      </c>
      <c r="H43" s="7" t="s">
        <v>178</v>
      </c>
      <c r="I43" s="7" t="s">
        <v>20</v>
      </c>
      <c r="J43" s="8" t="s">
        <v>181</v>
      </c>
      <c r="K43" s="6" t="s">
        <v>182</v>
      </c>
      <c r="L43" s="9" t="s">
        <v>23</v>
      </c>
      <c r="M43" s="2" t="n">
        <v>44748</v>
      </c>
    </row>
    <row r="44" customFormat="false" ht="33.75" hidden="false" customHeight="false" outlineLevel="0" collapsed="false">
      <c r="A44" s="1" t="n">
        <v>2021</v>
      </c>
      <c r="B44" s="1" t="s">
        <v>183</v>
      </c>
      <c r="C44" s="1" t="s">
        <v>184</v>
      </c>
      <c r="D44" s="1" t="s">
        <v>15</v>
      </c>
      <c r="E44" s="5" t="s">
        <v>16</v>
      </c>
      <c r="F44" s="6" t="s">
        <v>185</v>
      </c>
      <c r="G44" s="7" t="s">
        <v>186</v>
      </c>
      <c r="H44" s="7" t="s">
        <v>187</v>
      </c>
      <c r="I44" s="7" t="s">
        <v>188</v>
      </c>
      <c r="J44" s="8" t="s">
        <v>189</v>
      </c>
      <c r="K44" s="6" t="s">
        <v>190</v>
      </c>
      <c r="L44" s="9" t="s">
        <v>23</v>
      </c>
      <c r="M44" s="2" t="n">
        <v>44841</v>
      </c>
    </row>
    <row r="45" customFormat="false" ht="49.5" hidden="false" customHeight="false" outlineLevel="0" collapsed="false">
      <c r="A45" s="1" t="n">
        <v>2021</v>
      </c>
      <c r="B45" s="1" t="s">
        <v>183</v>
      </c>
      <c r="C45" s="1" t="s">
        <v>184</v>
      </c>
      <c r="D45" s="1" t="s">
        <v>15</v>
      </c>
      <c r="E45" s="5" t="s">
        <v>16</v>
      </c>
      <c r="F45" s="6" t="s">
        <v>191</v>
      </c>
      <c r="G45" s="7" t="s">
        <v>192</v>
      </c>
      <c r="H45" s="7" t="s">
        <v>193</v>
      </c>
      <c r="I45" s="7" t="s">
        <v>188</v>
      </c>
      <c r="J45" s="8" t="s">
        <v>194</v>
      </c>
      <c r="K45" s="6" t="s">
        <v>195</v>
      </c>
      <c r="L45" s="9" t="s">
        <v>23</v>
      </c>
      <c r="M45" s="2" t="n">
        <v>44488</v>
      </c>
    </row>
    <row r="46" customFormat="false" ht="49.5" hidden="false" customHeight="false" outlineLevel="0" collapsed="false">
      <c r="A46" s="1" t="n">
        <v>2021</v>
      </c>
      <c r="B46" s="1" t="s">
        <v>183</v>
      </c>
      <c r="C46" s="1" t="s">
        <v>184</v>
      </c>
      <c r="D46" s="1" t="s">
        <v>15</v>
      </c>
      <c r="E46" s="5" t="s">
        <v>16</v>
      </c>
      <c r="F46" s="6" t="s">
        <v>196</v>
      </c>
      <c r="G46" s="7" t="s">
        <v>197</v>
      </c>
      <c r="H46" s="7" t="s">
        <v>198</v>
      </c>
      <c r="I46" s="7" t="s">
        <v>188</v>
      </c>
      <c r="J46" s="8" t="s">
        <v>199</v>
      </c>
      <c r="K46" s="6" t="s">
        <v>200</v>
      </c>
      <c r="L46" s="9" t="s">
        <v>23</v>
      </c>
      <c r="M46" s="2" t="n">
        <v>44582</v>
      </c>
    </row>
    <row r="47" customFormat="false" ht="33.75" hidden="false" customHeight="false" outlineLevel="0" collapsed="false">
      <c r="A47" s="1" t="n">
        <v>2021</v>
      </c>
      <c r="B47" s="1" t="s">
        <v>183</v>
      </c>
      <c r="C47" s="1" t="s">
        <v>184</v>
      </c>
      <c r="D47" s="1" t="s">
        <v>15</v>
      </c>
      <c r="E47" s="5" t="s">
        <v>16</v>
      </c>
      <c r="F47" s="6" t="s">
        <v>201</v>
      </c>
      <c r="G47" s="7" t="s">
        <v>202</v>
      </c>
      <c r="H47" s="7" t="s">
        <v>203</v>
      </c>
      <c r="I47" s="7" t="s">
        <v>188</v>
      </c>
      <c r="J47" s="8" t="s">
        <v>204</v>
      </c>
      <c r="K47" s="6" t="s">
        <v>205</v>
      </c>
      <c r="L47" s="9" t="s">
        <v>23</v>
      </c>
      <c r="M47" s="2" t="n">
        <v>44488</v>
      </c>
    </row>
    <row r="48" customFormat="false" ht="41.25" hidden="false" customHeight="false" outlineLevel="0" collapsed="false">
      <c r="A48" s="1" t="n">
        <v>2021</v>
      </c>
      <c r="B48" s="1" t="s">
        <v>183</v>
      </c>
      <c r="C48" s="1" t="s">
        <v>184</v>
      </c>
      <c r="D48" s="1" t="s">
        <v>15</v>
      </c>
      <c r="E48" s="5" t="s">
        <v>16</v>
      </c>
      <c r="F48" s="6" t="s">
        <v>206</v>
      </c>
      <c r="G48" s="7" t="s">
        <v>207</v>
      </c>
      <c r="H48" s="7" t="s">
        <v>208</v>
      </c>
      <c r="I48" s="7" t="s">
        <v>188</v>
      </c>
      <c r="J48" s="8" t="s">
        <v>209</v>
      </c>
      <c r="K48" s="6" t="s">
        <v>210</v>
      </c>
      <c r="L48" s="9" t="s">
        <v>23</v>
      </c>
      <c r="M48" s="2" t="n">
        <v>44488</v>
      </c>
    </row>
    <row r="49" customFormat="false" ht="49.5" hidden="false" customHeight="false" outlineLevel="0" collapsed="false">
      <c r="A49" s="1" t="n">
        <v>2021</v>
      </c>
      <c r="B49" s="1" t="s">
        <v>183</v>
      </c>
      <c r="C49" s="1" t="s">
        <v>184</v>
      </c>
      <c r="D49" s="1" t="s">
        <v>15</v>
      </c>
      <c r="E49" s="5" t="s">
        <v>16</v>
      </c>
      <c r="F49" s="6" t="s">
        <v>211</v>
      </c>
      <c r="G49" s="7" t="s">
        <v>212</v>
      </c>
      <c r="H49" s="7" t="s">
        <v>213</v>
      </c>
      <c r="I49" s="7" t="s">
        <v>188</v>
      </c>
      <c r="J49" s="8" t="s">
        <v>214</v>
      </c>
      <c r="K49" s="6" t="s">
        <v>215</v>
      </c>
      <c r="L49" s="9" t="s">
        <v>23</v>
      </c>
      <c r="M49" s="2" t="n">
        <v>44841</v>
      </c>
    </row>
    <row r="50" customFormat="false" ht="33.75" hidden="false" customHeight="false" outlineLevel="0" collapsed="false">
      <c r="A50" s="1" t="n">
        <v>2021</v>
      </c>
      <c r="B50" s="1" t="s">
        <v>183</v>
      </c>
      <c r="C50" s="1" t="s">
        <v>184</v>
      </c>
      <c r="D50" s="1" t="s">
        <v>15</v>
      </c>
      <c r="E50" s="5" t="s">
        <v>16</v>
      </c>
      <c r="F50" s="6" t="s">
        <v>216</v>
      </c>
      <c r="G50" s="7" t="s">
        <v>217</v>
      </c>
      <c r="H50" s="7" t="s">
        <v>218</v>
      </c>
      <c r="I50" s="7" t="s">
        <v>188</v>
      </c>
      <c r="J50" s="8" t="s">
        <v>219</v>
      </c>
      <c r="K50" s="6" t="s">
        <v>220</v>
      </c>
      <c r="L50" s="9" t="s">
        <v>23</v>
      </c>
      <c r="M50" s="2" t="n">
        <v>44488</v>
      </c>
    </row>
    <row r="51" customFormat="false" ht="57.75" hidden="false" customHeight="false" outlineLevel="0" collapsed="false">
      <c r="A51" s="1" t="n">
        <v>2021</v>
      </c>
      <c r="B51" s="1" t="s">
        <v>183</v>
      </c>
      <c r="C51" s="1" t="s">
        <v>184</v>
      </c>
      <c r="D51" s="1" t="s">
        <v>15</v>
      </c>
      <c r="E51" s="5" t="s">
        <v>16</v>
      </c>
      <c r="F51" s="6" t="s">
        <v>221</v>
      </c>
      <c r="G51" s="7" t="s">
        <v>222</v>
      </c>
      <c r="H51" s="7" t="s">
        <v>223</v>
      </c>
      <c r="I51" s="7" t="s">
        <v>188</v>
      </c>
      <c r="J51" s="8" t="s">
        <v>224</v>
      </c>
      <c r="K51" s="6" t="s">
        <v>225</v>
      </c>
      <c r="L51" s="9" t="s">
        <v>23</v>
      </c>
      <c r="M51" s="2" t="n">
        <v>44488</v>
      </c>
    </row>
    <row r="52" customFormat="false" ht="33.75" hidden="false" customHeight="false" outlineLevel="0" collapsed="false">
      <c r="A52" s="1" t="n">
        <v>2021</v>
      </c>
      <c r="B52" s="1" t="s">
        <v>183</v>
      </c>
      <c r="C52" s="1" t="s">
        <v>184</v>
      </c>
      <c r="D52" s="1" t="s">
        <v>15</v>
      </c>
      <c r="E52" s="5" t="s">
        <v>16</v>
      </c>
      <c r="F52" s="6" t="s">
        <v>226</v>
      </c>
      <c r="G52" s="7" t="s">
        <v>227</v>
      </c>
      <c r="H52" s="7" t="s">
        <v>228</v>
      </c>
      <c r="I52" s="7" t="s">
        <v>188</v>
      </c>
      <c r="J52" s="8" t="s">
        <v>229</v>
      </c>
      <c r="K52" s="6" t="s">
        <v>230</v>
      </c>
      <c r="L52" s="9" t="s">
        <v>23</v>
      </c>
      <c r="M52" s="2" t="n">
        <v>44488</v>
      </c>
    </row>
    <row r="53" customFormat="false" ht="41.25" hidden="false" customHeight="false" outlineLevel="0" collapsed="false">
      <c r="A53" s="1" t="n">
        <v>2021</v>
      </c>
      <c r="B53" s="1" t="s">
        <v>183</v>
      </c>
      <c r="C53" s="1" t="s">
        <v>184</v>
      </c>
      <c r="D53" s="1" t="s">
        <v>15</v>
      </c>
      <c r="E53" s="5" t="s">
        <v>16</v>
      </c>
      <c r="F53" s="6" t="s">
        <v>231</v>
      </c>
      <c r="G53" s="7" t="s">
        <v>232</v>
      </c>
      <c r="H53" s="7" t="s">
        <v>233</v>
      </c>
      <c r="I53" s="7" t="s">
        <v>188</v>
      </c>
      <c r="J53" s="8" t="s">
        <v>234</v>
      </c>
      <c r="K53" s="6" t="s">
        <v>235</v>
      </c>
      <c r="L53" s="9" t="s">
        <v>23</v>
      </c>
      <c r="M53" s="2" t="n">
        <v>44488</v>
      </c>
    </row>
    <row r="54" customFormat="false" ht="41.25" hidden="false" customHeight="false" outlineLevel="0" collapsed="false">
      <c r="A54" s="1" t="n">
        <v>2021</v>
      </c>
      <c r="B54" s="1" t="s">
        <v>183</v>
      </c>
      <c r="C54" s="1" t="s">
        <v>184</v>
      </c>
      <c r="D54" s="1" t="s">
        <v>15</v>
      </c>
      <c r="E54" s="5" t="s">
        <v>16</v>
      </c>
      <c r="F54" s="6" t="s">
        <v>236</v>
      </c>
      <c r="G54" s="7" t="s">
        <v>237</v>
      </c>
      <c r="H54" s="7" t="s">
        <v>238</v>
      </c>
      <c r="I54" s="7" t="s">
        <v>188</v>
      </c>
      <c r="J54" s="8" t="s">
        <v>239</v>
      </c>
      <c r="K54" s="6" t="s">
        <v>240</v>
      </c>
      <c r="L54" s="9" t="s">
        <v>23</v>
      </c>
      <c r="M54" s="2" t="n">
        <v>44488</v>
      </c>
    </row>
    <row r="55" customFormat="false" ht="33.75" hidden="false" customHeight="false" outlineLevel="0" collapsed="false">
      <c r="A55" s="1" t="n">
        <v>2021</v>
      </c>
      <c r="B55" s="1" t="s">
        <v>183</v>
      </c>
      <c r="C55" s="1" t="s">
        <v>184</v>
      </c>
      <c r="D55" s="1" t="s">
        <v>15</v>
      </c>
      <c r="E55" s="5" t="s">
        <v>16</v>
      </c>
      <c r="F55" s="6" t="s">
        <v>241</v>
      </c>
      <c r="G55" s="7" t="s">
        <v>242</v>
      </c>
      <c r="H55" s="7" t="s">
        <v>243</v>
      </c>
      <c r="I55" s="7" t="s">
        <v>188</v>
      </c>
      <c r="J55" s="8" t="s">
        <v>244</v>
      </c>
      <c r="K55" s="6" t="s">
        <v>245</v>
      </c>
      <c r="L55" s="9" t="s">
        <v>23</v>
      </c>
      <c r="M55" s="2" t="n">
        <v>44488</v>
      </c>
    </row>
    <row r="56" customFormat="false" ht="57.75" hidden="false" customHeight="false" outlineLevel="0" collapsed="false">
      <c r="A56" s="1" t="n">
        <v>2021</v>
      </c>
      <c r="B56" s="1" t="s">
        <v>183</v>
      </c>
      <c r="C56" s="1" t="s">
        <v>184</v>
      </c>
      <c r="D56" s="1" t="s">
        <v>15</v>
      </c>
      <c r="E56" s="5" t="s">
        <v>16</v>
      </c>
      <c r="F56" s="6" t="s">
        <v>246</v>
      </c>
      <c r="G56" s="7" t="s">
        <v>247</v>
      </c>
      <c r="H56" s="7" t="s">
        <v>248</v>
      </c>
      <c r="I56" s="7" t="s">
        <v>188</v>
      </c>
      <c r="J56" s="8" t="s">
        <v>249</v>
      </c>
      <c r="K56" s="6" t="s">
        <v>250</v>
      </c>
      <c r="L56" s="9" t="s">
        <v>23</v>
      </c>
      <c r="M56" s="2" t="n">
        <v>44488</v>
      </c>
    </row>
    <row r="57" customFormat="false" ht="90.75" hidden="false" customHeight="false" outlineLevel="0" collapsed="false">
      <c r="A57" s="1" t="n">
        <v>2021</v>
      </c>
      <c r="B57" s="1" t="s">
        <v>183</v>
      </c>
      <c r="C57" s="1" t="s">
        <v>184</v>
      </c>
      <c r="D57" s="1" t="s">
        <v>15</v>
      </c>
      <c r="E57" s="5" t="s">
        <v>16</v>
      </c>
      <c r="F57" s="6" t="s">
        <v>251</v>
      </c>
      <c r="G57" s="7" t="s">
        <v>252</v>
      </c>
      <c r="H57" s="7" t="s">
        <v>253</v>
      </c>
      <c r="I57" s="7" t="s">
        <v>188</v>
      </c>
      <c r="J57" s="8" t="s">
        <v>254</v>
      </c>
      <c r="K57" s="6" t="s">
        <v>255</v>
      </c>
      <c r="L57" s="9" t="s">
        <v>23</v>
      </c>
      <c r="M57" s="2" t="n">
        <v>44488</v>
      </c>
    </row>
    <row r="58" customFormat="false" ht="90.75" hidden="false" customHeight="false" outlineLevel="0" collapsed="false">
      <c r="A58" s="1" t="n">
        <v>2021</v>
      </c>
      <c r="B58" s="1" t="s">
        <v>183</v>
      </c>
      <c r="C58" s="1" t="s">
        <v>184</v>
      </c>
      <c r="D58" s="1" t="s">
        <v>15</v>
      </c>
      <c r="E58" s="5" t="s">
        <v>16</v>
      </c>
      <c r="F58" s="6" t="s">
        <v>251</v>
      </c>
      <c r="G58" s="7" t="s">
        <v>252</v>
      </c>
      <c r="H58" s="7" t="s">
        <v>253</v>
      </c>
      <c r="I58" s="7" t="s">
        <v>188</v>
      </c>
      <c r="J58" s="8" t="s">
        <v>256</v>
      </c>
      <c r="K58" s="6" t="s">
        <v>257</v>
      </c>
      <c r="L58" s="9" t="s">
        <v>23</v>
      </c>
      <c r="M58" s="2" t="n">
        <v>44488</v>
      </c>
    </row>
    <row r="59" customFormat="false" ht="90.75" hidden="false" customHeight="false" outlineLevel="0" collapsed="false">
      <c r="A59" s="1" t="n">
        <v>2021</v>
      </c>
      <c r="B59" s="1" t="s">
        <v>183</v>
      </c>
      <c r="C59" s="1" t="s">
        <v>184</v>
      </c>
      <c r="D59" s="1" t="s">
        <v>15</v>
      </c>
      <c r="E59" s="5" t="s">
        <v>16</v>
      </c>
      <c r="F59" s="6" t="s">
        <v>251</v>
      </c>
      <c r="G59" s="7" t="s">
        <v>252</v>
      </c>
      <c r="H59" s="7" t="s">
        <v>253</v>
      </c>
      <c r="I59" s="7" t="s">
        <v>188</v>
      </c>
      <c r="J59" s="8" t="s">
        <v>258</v>
      </c>
      <c r="K59" s="6" t="s">
        <v>259</v>
      </c>
      <c r="L59" s="9" t="s">
        <v>23</v>
      </c>
      <c r="M59" s="2" t="n">
        <v>44488</v>
      </c>
    </row>
    <row r="60" customFormat="false" ht="33.75" hidden="false" customHeight="false" outlineLevel="0" collapsed="false">
      <c r="A60" s="1" t="n">
        <v>2021</v>
      </c>
      <c r="B60" s="1" t="s">
        <v>183</v>
      </c>
      <c r="C60" s="1" t="s">
        <v>184</v>
      </c>
      <c r="D60" s="1" t="s">
        <v>15</v>
      </c>
      <c r="E60" s="5" t="s">
        <v>16</v>
      </c>
      <c r="F60" s="6" t="s">
        <v>260</v>
      </c>
      <c r="G60" s="7" t="s">
        <v>261</v>
      </c>
      <c r="H60" s="7" t="s">
        <v>262</v>
      </c>
      <c r="I60" s="7" t="s">
        <v>188</v>
      </c>
      <c r="J60" s="8" t="s">
        <v>263</v>
      </c>
      <c r="K60" s="6" t="s">
        <v>264</v>
      </c>
      <c r="L60" s="9" t="s">
        <v>23</v>
      </c>
      <c r="M60" s="2" t="n">
        <v>44488</v>
      </c>
    </row>
    <row r="61" customFormat="false" ht="33.75" hidden="false" customHeight="false" outlineLevel="0" collapsed="false">
      <c r="A61" s="1" t="n">
        <v>2021</v>
      </c>
      <c r="B61" s="1" t="s">
        <v>183</v>
      </c>
      <c r="C61" s="1" t="s">
        <v>184</v>
      </c>
      <c r="D61" s="1" t="s">
        <v>15</v>
      </c>
      <c r="E61" s="5" t="s">
        <v>16</v>
      </c>
      <c r="F61" s="6" t="s">
        <v>260</v>
      </c>
      <c r="G61" s="7" t="s">
        <v>261</v>
      </c>
      <c r="H61" s="7" t="s">
        <v>262</v>
      </c>
      <c r="I61" s="7" t="s">
        <v>188</v>
      </c>
      <c r="J61" s="8" t="s">
        <v>265</v>
      </c>
      <c r="K61" s="6" t="s">
        <v>266</v>
      </c>
      <c r="L61" s="9" t="s">
        <v>23</v>
      </c>
      <c r="M61" s="2" t="n">
        <v>44488</v>
      </c>
    </row>
    <row r="62" customFormat="false" ht="66" hidden="false" customHeight="false" outlineLevel="0" collapsed="false">
      <c r="A62" s="1" t="n">
        <v>2021</v>
      </c>
      <c r="B62" s="1" t="s">
        <v>183</v>
      </c>
      <c r="C62" s="1" t="s">
        <v>184</v>
      </c>
      <c r="D62" s="1" t="s">
        <v>15</v>
      </c>
      <c r="E62" s="5" t="s">
        <v>16</v>
      </c>
      <c r="F62" s="6" t="s">
        <v>267</v>
      </c>
      <c r="G62" s="7" t="s">
        <v>268</v>
      </c>
      <c r="H62" s="7" t="s">
        <v>269</v>
      </c>
      <c r="I62" s="7" t="s">
        <v>188</v>
      </c>
      <c r="J62" s="8" t="s">
        <v>270</v>
      </c>
      <c r="K62" s="6" t="s">
        <v>271</v>
      </c>
      <c r="L62" s="9" t="s">
        <v>23</v>
      </c>
      <c r="M62" s="2" t="n">
        <v>44488</v>
      </c>
    </row>
    <row r="63" customFormat="false" ht="33.75" hidden="false" customHeight="false" outlineLevel="0" collapsed="false">
      <c r="A63" s="1" t="n">
        <v>2021</v>
      </c>
      <c r="B63" s="1" t="s">
        <v>183</v>
      </c>
      <c r="C63" s="1" t="s">
        <v>184</v>
      </c>
      <c r="D63" s="1" t="s">
        <v>15</v>
      </c>
      <c r="E63" s="5" t="s">
        <v>16</v>
      </c>
      <c r="F63" s="6" t="s">
        <v>272</v>
      </c>
      <c r="G63" s="7" t="s">
        <v>273</v>
      </c>
      <c r="H63" s="7" t="s">
        <v>274</v>
      </c>
      <c r="I63" s="7" t="s">
        <v>188</v>
      </c>
      <c r="J63" s="8" t="s">
        <v>275</v>
      </c>
      <c r="K63" s="6" t="s">
        <v>276</v>
      </c>
      <c r="L63" s="9" t="s">
        <v>23</v>
      </c>
      <c r="M63" s="2" t="n">
        <v>44488</v>
      </c>
    </row>
    <row r="64" customFormat="false" ht="33.75" hidden="false" customHeight="false" outlineLevel="0" collapsed="false">
      <c r="A64" s="1" t="n">
        <v>2021</v>
      </c>
      <c r="B64" s="1" t="s">
        <v>183</v>
      </c>
      <c r="C64" s="1" t="s">
        <v>184</v>
      </c>
      <c r="D64" s="1" t="s">
        <v>15</v>
      </c>
      <c r="E64" s="5" t="s">
        <v>16</v>
      </c>
      <c r="F64" s="6" t="s">
        <v>277</v>
      </c>
      <c r="G64" s="7" t="s">
        <v>273</v>
      </c>
      <c r="H64" s="7" t="s">
        <v>274</v>
      </c>
      <c r="I64" s="7" t="s">
        <v>188</v>
      </c>
      <c r="J64" s="8" t="s">
        <v>278</v>
      </c>
      <c r="K64" s="6" t="s">
        <v>279</v>
      </c>
      <c r="L64" s="9" t="s">
        <v>23</v>
      </c>
      <c r="M64" s="2" t="n">
        <v>44488</v>
      </c>
    </row>
    <row r="65" customFormat="false" ht="66" hidden="false" customHeight="false" outlineLevel="0" collapsed="false">
      <c r="A65" s="1" t="n">
        <v>2021</v>
      </c>
      <c r="B65" s="1" t="s">
        <v>183</v>
      </c>
      <c r="C65" s="1" t="s">
        <v>184</v>
      </c>
      <c r="D65" s="1" t="s">
        <v>15</v>
      </c>
      <c r="E65" s="5" t="s">
        <v>16</v>
      </c>
      <c r="F65" s="6" t="s">
        <v>280</v>
      </c>
      <c r="G65" s="7" t="s">
        <v>281</v>
      </c>
      <c r="H65" s="7" t="s">
        <v>282</v>
      </c>
      <c r="I65" s="7" t="s">
        <v>188</v>
      </c>
      <c r="J65" s="8" t="s">
        <v>283</v>
      </c>
      <c r="K65" s="6" t="s">
        <v>284</v>
      </c>
      <c r="L65" s="9" t="s">
        <v>23</v>
      </c>
      <c r="M65" s="2" t="n">
        <v>44488</v>
      </c>
    </row>
    <row r="66" customFormat="false" ht="66" hidden="false" customHeight="false" outlineLevel="0" collapsed="false">
      <c r="A66" s="1" t="n">
        <v>2021</v>
      </c>
      <c r="B66" s="1" t="s">
        <v>183</v>
      </c>
      <c r="C66" s="1" t="s">
        <v>184</v>
      </c>
      <c r="D66" s="1" t="s">
        <v>15</v>
      </c>
      <c r="E66" s="5" t="s">
        <v>16</v>
      </c>
      <c r="F66" s="6" t="s">
        <v>285</v>
      </c>
      <c r="G66" s="7" t="s">
        <v>281</v>
      </c>
      <c r="H66" s="7" t="s">
        <v>282</v>
      </c>
      <c r="I66" s="7" t="s">
        <v>188</v>
      </c>
      <c r="J66" s="8" t="s">
        <v>286</v>
      </c>
      <c r="K66" s="6" t="s">
        <v>287</v>
      </c>
      <c r="L66" s="9" t="s">
        <v>23</v>
      </c>
      <c r="M66" s="2" t="n">
        <v>44488</v>
      </c>
    </row>
    <row r="67" customFormat="false" ht="57.75" hidden="false" customHeight="false" outlineLevel="0" collapsed="false">
      <c r="A67" s="1" t="n">
        <v>2021</v>
      </c>
      <c r="B67" s="1" t="s">
        <v>183</v>
      </c>
      <c r="C67" s="1" t="s">
        <v>184</v>
      </c>
      <c r="D67" s="1" t="s">
        <v>15</v>
      </c>
      <c r="E67" s="5" t="s">
        <v>16</v>
      </c>
      <c r="F67" s="6" t="s">
        <v>288</v>
      </c>
      <c r="G67" s="7" t="s">
        <v>289</v>
      </c>
      <c r="H67" s="7" t="s">
        <v>290</v>
      </c>
      <c r="I67" s="7" t="s">
        <v>188</v>
      </c>
      <c r="J67" s="8" t="s">
        <v>291</v>
      </c>
      <c r="K67" s="6" t="s">
        <v>292</v>
      </c>
      <c r="L67" s="9" t="s">
        <v>23</v>
      </c>
      <c r="M67" s="2" t="n">
        <v>44582</v>
      </c>
    </row>
    <row r="68" customFormat="false" ht="115.5" hidden="false" customHeight="false" outlineLevel="0" collapsed="false">
      <c r="A68" s="1" t="n">
        <v>2021</v>
      </c>
      <c r="B68" s="1" t="s">
        <v>183</v>
      </c>
      <c r="C68" s="1" t="s">
        <v>184</v>
      </c>
      <c r="D68" s="1" t="s">
        <v>15</v>
      </c>
      <c r="E68" s="5" t="s">
        <v>16</v>
      </c>
      <c r="F68" s="6" t="s">
        <v>293</v>
      </c>
      <c r="G68" s="7" t="s">
        <v>294</v>
      </c>
      <c r="H68" s="7" t="s">
        <v>295</v>
      </c>
      <c r="I68" s="7" t="s">
        <v>188</v>
      </c>
      <c r="J68" s="8" t="s">
        <v>296</v>
      </c>
      <c r="K68" s="6" t="s">
        <v>297</v>
      </c>
      <c r="L68" s="9" t="s">
        <v>23</v>
      </c>
      <c r="M68" s="2" t="n">
        <v>44582</v>
      </c>
    </row>
    <row r="69" customFormat="false" ht="115.5" hidden="false" customHeight="false" outlineLevel="0" collapsed="false">
      <c r="A69" s="1" t="n">
        <v>2021</v>
      </c>
      <c r="B69" s="1" t="s">
        <v>183</v>
      </c>
      <c r="C69" s="1" t="s">
        <v>184</v>
      </c>
      <c r="D69" s="1" t="s">
        <v>15</v>
      </c>
      <c r="E69" s="5" t="s">
        <v>16</v>
      </c>
      <c r="F69" s="6" t="s">
        <v>298</v>
      </c>
      <c r="G69" s="7" t="s">
        <v>294</v>
      </c>
      <c r="H69" s="7" t="s">
        <v>295</v>
      </c>
      <c r="I69" s="7" t="s">
        <v>188</v>
      </c>
      <c r="J69" s="8" t="s">
        <v>299</v>
      </c>
      <c r="K69" s="6" t="s">
        <v>300</v>
      </c>
      <c r="L69" s="9" t="s">
        <v>23</v>
      </c>
      <c r="M69" s="2" t="n">
        <v>44582</v>
      </c>
    </row>
    <row r="70" customFormat="false" ht="57.75" hidden="false" customHeight="false" outlineLevel="0" collapsed="false">
      <c r="A70" s="1" t="n">
        <v>2021</v>
      </c>
      <c r="B70" s="1" t="s">
        <v>183</v>
      </c>
      <c r="C70" s="1" t="s">
        <v>184</v>
      </c>
      <c r="D70" s="1" t="s">
        <v>15</v>
      </c>
      <c r="E70" s="5" t="s">
        <v>16</v>
      </c>
      <c r="F70" s="6" t="s">
        <v>301</v>
      </c>
      <c r="G70" s="7" t="s">
        <v>302</v>
      </c>
      <c r="H70" s="7" t="s">
        <v>303</v>
      </c>
      <c r="I70" s="7" t="s">
        <v>188</v>
      </c>
      <c r="J70" s="8" t="s">
        <v>304</v>
      </c>
      <c r="K70" s="6" t="s">
        <v>305</v>
      </c>
      <c r="L70" s="9" t="s">
        <v>23</v>
      </c>
      <c r="M70" s="2" t="n">
        <v>44582</v>
      </c>
    </row>
    <row r="71" customFormat="false" ht="57.75" hidden="false" customHeight="false" outlineLevel="0" collapsed="false">
      <c r="A71" s="1" t="n">
        <v>2021</v>
      </c>
      <c r="B71" s="1" t="s">
        <v>183</v>
      </c>
      <c r="C71" s="1" t="s">
        <v>184</v>
      </c>
      <c r="D71" s="1" t="s">
        <v>15</v>
      </c>
      <c r="E71" s="5" t="s">
        <v>16</v>
      </c>
      <c r="F71" s="6" t="s">
        <v>301</v>
      </c>
      <c r="G71" s="7" t="s">
        <v>302</v>
      </c>
      <c r="H71" s="7" t="s">
        <v>303</v>
      </c>
      <c r="I71" s="7" t="s">
        <v>188</v>
      </c>
      <c r="J71" s="8" t="s">
        <v>306</v>
      </c>
      <c r="K71" s="6" t="s">
        <v>307</v>
      </c>
      <c r="L71" s="9" t="s">
        <v>23</v>
      </c>
      <c r="M71" s="2" t="n">
        <v>44582</v>
      </c>
    </row>
    <row r="72" customFormat="false" ht="57.75" hidden="false" customHeight="false" outlineLevel="0" collapsed="false">
      <c r="A72" s="1" t="n">
        <v>2021</v>
      </c>
      <c r="B72" s="1" t="s">
        <v>183</v>
      </c>
      <c r="C72" s="1" t="s">
        <v>184</v>
      </c>
      <c r="D72" s="1" t="s">
        <v>15</v>
      </c>
      <c r="E72" s="5" t="s">
        <v>16</v>
      </c>
      <c r="F72" s="6" t="s">
        <v>301</v>
      </c>
      <c r="G72" s="7" t="s">
        <v>302</v>
      </c>
      <c r="H72" s="7" t="s">
        <v>303</v>
      </c>
      <c r="I72" s="7" t="s">
        <v>188</v>
      </c>
      <c r="J72" s="8" t="s">
        <v>308</v>
      </c>
      <c r="K72" s="6" t="s">
        <v>309</v>
      </c>
      <c r="L72" s="9" t="s">
        <v>55</v>
      </c>
      <c r="M72" s="2" t="n">
        <v>45120</v>
      </c>
    </row>
    <row r="73" customFormat="false" ht="57.75" hidden="false" customHeight="false" outlineLevel="0" collapsed="false">
      <c r="A73" s="1" t="n">
        <v>2021</v>
      </c>
      <c r="B73" s="1" t="s">
        <v>183</v>
      </c>
      <c r="C73" s="1" t="s">
        <v>184</v>
      </c>
      <c r="D73" s="1" t="s">
        <v>15</v>
      </c>
      <c r="E73" s="5" t="s">
        <v>16</v>
      </c>
      <c r="F73" s="6" t="s">
        <v>301</v>
      </c>
      <c r="G73" s="7" t="s">
        <v>302</v>
      </c>
      <c r="H73" s="7" t="s">
        <v>303</v>
      </c>
      <c r="I73" s="7" t="s">
        <v>188</v>
      </c>
      <c r="J73" s="8" t="s">
        <v>310</v>
      </c>
      <c r="K73" s="6" t="s">
        <v>311</v>
      </c>
      <c r="L73" s="9" t="s">
        <v>55</v>
      </c>
      <c r="M73" s="2" t="n">
        <v>45120</v>
      </c>
    </row>
    <row r="74" customFormat="false" ht="57.75" hidden="false" customHeight="false" outlineLevel="0" collapsed="false">
      <c r="A74" s="1" t="n">
        <v>2021</v>
      </c>
      <c r="B74" s="1" t="s">
        <v>183</v>
      </c>
      <c r="C74" s="1" t="s">
        <v>184</v>
      </c>
      <c r="D74" s="1" t="s">
        <v>15</v>
      </c>
      <c r="E74" s="5" t="s">
        <v>16</v>
      </c>
      <c r="F74" s="6" t="s">
        <v>312</v>
      </c>
      <c r="G74" s="7" t="s">
        <v>302</v>
      </c>
      <c r="H74" s="7" t="s">
        <v>303</v>
      </c>
      <c r="I74" s="7" t="s">
        <v>188</v>
      </c>
      <c r="J74" s="8" t="s">
        <v>313</v>
      </c>
      <c r="K74" s="6" t="s">
        <v>314</v>
      </c>
      <c r="L74" s="9" t="s">
        <v>23</v>
      </c>
      <c r="M74" s="2" t="n">
        <v>44841</v>
      </c>
    </row>
    <row r="75" customFormat="false" ht="66" hidden="false" customHeight="false" outlineLevel="0" collapsed="false">
      <c r="A75" s="1" t="n">
        <v>2021</v>
      </c>
      <c r="B75" s="1" t="s">
        <v>183</v>
      </c>
      <c r="C75" s="1" t="s">
        <v>184</v>
      </c>
      <c r="D75" s="1" t="s">
        <v>15</v>
      </c>
      <c r="E75" s="5" t="s">
        <v>16</v>
      </c>
      <c r="F75" s="6" t="s">
        <v>315</v>
      </c>
      <c r="G75" s="7" t="s">
        <v>316</v>
      </c>
      <c r="H75" s="7" t="s">
        <v>317</v>
      </c>
      <c r="I75" s="7" t="s">
        <v>188</v>
      </c>
      <c r="J75" s="8" t="s">
        <v>318</v>
      </c>
      <c r="K75" s="6" t="s">
        <v>319</v>
      </c>
      <c r="L75" s="9" t="s">
        <v>23</v>
      </c>
      <c r="M75" s="2" t="n">
        <v>44582</v>
      </c>
    </row>
    <row r="76" customFormat="false" ht="66" hidden="false" customHeight="false" outlineLevel="0" collapsed="false">
      <c r="A76" s="1" t="n">
        <v>2021</v>
      </c>
      <c r="B76" s="1" t="s">
        <v>183</v>
      </c>
      <c r="C76" s="1" t="s">
        <v>184</v>
      </c>
      <c r="D76" s="1" t="s">
        <v>15</v>
      </c>
      <c r="E76" s="5" t="s">
        <v>16</v>
      </c>
      <c r="F76" s="6" t="s">
        <v>315</v>
      </c>
      <c r="G76" s="7" t="s">
        <v>316</v>
      </c>
      <c r="H76" s="7" t="s">
        <v>317</v>
      </c>
      <c r="I76" s="7" t="s">
        <v>188</v>
      </c>
      <c r="J76" s="8" t="s">
        <v>320</v>
      </c>
      <c r="K76" s="6" t="s">
        <v>321</v>
      </c>
      <c r="L76" s="9" t="s">
        <v>23</v>
      </c>
      <c r="M76" s="2" t="n">
        <v>44488</v>
      </c>
    </row>
    <row r="77" customFormat="false" ht="66" hidden="false" customHeight="false" outlineLevel="0" collapsed="false">
      <c r="A77" s="1" t="n">
        <v>2021</v>
      </c>
      <c r="B77" s="1" t="s">
        <v>183</v>
      </c>
      <c r="C77" s="1" t="s">
        <v>184</v>
      </c>
      <c r="D77" s="1" t="s">
        <v>15</v>
      </c>
      <c r="E77" s="5" t="s">
        <v>16</v>
      </c>
      <c r="F77" s="6" t="s">
        <v>315</v>
      </c>
      <c r="G77" s="7" t="s">
        <v>316</v>
      </c>
      <c r="H77" s="7" t="s">
        <v>317</v>
      </c>
      <c r="I77" s="7" t="s">
        <v>188</v>
      </c>
      <c r="J77" s="8" t="s">
        <v>322</v>
      </c>
      <c r="K77" s="6" t="s">
        <v>323</v>
      </c>
      <c r="L77" s="9" t="s">
        <v>23</v>
      </c>
      <c r="M77" s="2" t="n">
        <v>44488</v>
      </c>
    </row>
    <row r="78" customFormat="false" ht="33.75" hidden="false" customHeight="false" outlineLevel="0" collapsed="false">
      <c r="A78" s="1" t="n">
        <v>2021</v>
      </c>
      <c r="B78" s="1" t="s">
        <v>183</v>
      </c>
      <c r="C78" s="1" t="s">
        <v>184</v>
      </c>
      <c r="D78" s="1" t="s">
        <v>15</v>
      </c>
      <c r="E78" s="5" t="s">
        <v>16</v>
      </c>
      <c r="F78" s="6" t="s">
        <v>324</v>
      </c>
      <c r="G78" s="7" t="s">
        <v>325</v>
      </c>
      <c r="H78" s="7" t="s">
        <v>326</v>
      </c>
      <c r="I78" s="7" t="s">
        <v>188</v>
      </c>
      <c r="J78" s="8" t="s">
        <v>327</v>
      </c>
      <c r="K78" s="6" t="s">
        <v>328</v>
      </c>
      <c r="L78" s="9" t="s">
        <v>23</v>
      </c>
      <c r="M78" s="2" t="n">
        <v>44582</v>
      </c>
    </row>
    <row r="79" customFormat="false" ht="36" hidden="false" customHeight="false" outlineLevel="0" collapsed="false">
      <c r="A79" s="1" t="n">
        <v>2021</v>
      </c>
      <c r="B79" s="1" t="s">
        <v>183</v>
      </c>
      <c r="C79" s="1" t="s">
        <v>184</v>
      </c>
      <c r="D79" s="1" t="s">
        <v>15</v>
      </c>
      <c r="E79" s="5" t="s">
        <v>16</v>
      </c>
      <c r="F79" s="6" t="s">
        <v>324</v>
      </c>
      <c r="G79" s="7" t="s">
        <v>325</v>
      </c>
      <c r="H79" s="7" t="s">
        <v>326</v>
      </c>
      <c r="I79" s="7" t="s">
        <v>188</v>
      </c>
      <c r="J79" s="8" t="s">
        <v>329</v>
      </c>
      <c r="K79" s="6" t="s">
        <v>330</v>
      </c>
      <c r="L79" s="9" t="s">
        <v>23</v>
      </c>
      <c r="M79" s="2" t="n">
        <v>44582</v>
      </c>
    </row>
    <row r="80" customFormat="false" ht="33.75" hidden="false" customHeight="false" outlineLevel="0" collapsed="false">
      <c r="A80" s="1" t="n">
        <v>2021</v>
      </c>
      <c r="B80" s="1" t="s">
        <v>183</v>
      </c>
      <c r="C80" s="1" t="s">
        <v>184</v>
      </c>
      <c r="D80" s="1" t="s">
        <v>15</v>
      </c>
      <c r="E80" s="5" t="s">
        <v>16</v>
      </c>
      <c r="F80" s="6" t="s">
        <v>324</v>
      </c>
      <c r="G80" s="7" t="s">
        <v>325</v>
      </c>
      <c r="H80" s="7" t="s">
        <v>326</v>
      </c>
      <c r="I80" s="7" t="s">
        <v>188</v>
      </c>
      <c r="J80" s="8" t="s">
        <v>331</v>
      </c>
      <c r="K80" s="6" t="s">
        <v>332</v>
      </c>
      <c r="L80" s="9" t="s">
        <v>23</v>
      </c>
      <c r="M80" s="2" t="n">
        <v>44488</v>
      </c>
    </row>
    <row r="81" customFormat="false" ht="82.5" hidden="false" customHeight="false" outlineLevel="0" collapsed="false">
      <c r="A81" s="1" t="n">
        <v>2021</v>
      </c>
      <c r="B81" s="1" t="s">
        <v>183</v>
      </c>
      <c r="C81" s="1" t="s">
        <v>184</v>
      </c>
      <c r="D81" s="1" t="s">
        <v>15</v>
      </c>
      <c r="E81" s="5" t="s">
        <v>16</v>
      </c>
      <c r="F81" s="6" t="s">
        <v>333</v>
      </c>
      <c r="G81" s="7" t="s">
        <v>334</v>
      </c>
      <c r="H81" s="7" t="s">
        <v>335</v>
      </c>
      <c r="I81" s="7" t="s">
        <v>188</v>
      </c>
      <c r="J81" s="8" t="s">
        <v>336</v>
      </c>
      <c r="K81" s="6" t="s">
        <v>337</v>
      </c>
      <c r="L81" s="9" t="s">
        <v>23</v>
      </c>
      <c r="M81" s="2" t="n">
        <v>44841</v>
      </c>
    </row>
    <row r="82" customFormat="false" ht="82.5" hidden="false" customHeight="false" outlineLevel="0" collapsed="false">
      <c r="A82" s="1" t="n">
        <v>2021</v>
      </c>
      <c r="B82" s="1" t="s">
        <v>183</v>
      </c>
      <c r="C82" s="1" t="s">
        <v>184</v>
      </c>
      <c r="D82" s="1" t="s">
        <v>15</v>
      </c>
      <c r="E82" s="5" t="s">
        <v>16</v>
      </c>
      <c r="F82" s="6" t="s">
        <v>338</v>
      </c>
      <c r="G82" s="7" t="s">
        <v>334</v>
      </c>
      <c r="H82" s="7" t="s">
        <v>335</v>
      </c>
      <c r="I82" s="7" t="s">
        <v>188</v>
      </c>
      <c r="J82" s="8" t="s">
        <v>339</v>
      </c>
      <c r="K82" s="6" t="s">
        <v>340</v>
      </c>
      <c r="L82" s="9" t="s">
        <v>23</v>
      </c>
      <c r="M82" s="2" t="n">
        <v>44841</v>
      </c>
    </row>
    <row r="83" customFormat="false" ht="41.25" hidden="false" customHeight="false" outlineLevel="0" collapsed="false">
      <c r="A83" s="1" t="n">
        <v>2021</v>
      </c>
      <c r="B83" s="1" t="s">
        <v>183</v>
      </c>
      <c r="C83" s="1" t="s">
        <v>184</v>
      </c>
      <c r="D83" s="1" t="s">
        <v>15</v>
      </c>
      <c r="E83" s="5" t="s">
        <v>16</v>
      </c>
      <c r="F83" s="6" t="s">
        <v>341</v>
      </c>
      <c r="G83" s="7" t="s">
        <v>342</v>
      </c>
      <c r="H83" s="7" t="s">
        <v>343</v>
      </c>
      <c r="I83" s="7" t="s">
        <v>188</v>
      </c>
      <c r="J83" s="8" t="s">
        <v>344</v>
      </c>
      <c r="K83" s="6" t="s">
        <v>345</v>
      </c>
      <c r="L83" s="9" t="s">
        <v>23</v>
      </c>
      <c r="M83" s="2" t="n">
        <v>44582</v>
      </c>
    </row>
    <row r="84" customFormat="false" ht="36" hidden="false" customHeight="false" outlineLevel="0" collapsed="false">
      <c r="A84" s="1" t="n">
        <v>2021</v>
      </c>
      <c r="B84" s="1" t="s">
        <v>183</v>
      </c>
      <c r="C84" s="1" t="s">
        <v>184</v>
      </c>
      <c r="D84" s="1" t="s">
        <v>15</v>
      </c>
      <c r="E84" s="5" t="s">
        <v>16</v>
      </c>
      <c r="F84" s="6" t="s">
        <v>346</v>
      </c>
      <c r="G84" s="7" t="s">
        <v>347</v>
      </c>
      <c r="H84" s="7" t="s">
        <v>348</v>
      </c>
      <c r="I84" s="7" t="s">
        <v>188</v>
      </c>
      <c r="J84" s="8" t="s">
        <v>349</v>
      </c>
      <c r="K84" s="6" t="s">
        <v>350</v>
      </c>
      <c r="L84" s="9" t="s">
        <v>23</v>
      </c>
      <c r="M84" s="2" t="n">
        <v>45121</v>
      </c>
    </row>
    <row r="85" customFormat="false" ht="33.75" hidden="false" customHeight="false" outlineLevel="0" collapsed="false">
      <c r="A85" s="1" t="n">
        <v>2021</v>
      </c>
      <c r="B85" s="1" t="s">
        <v>183</v>
      </c>
      <c r="C85" s="1" t="s">
        <v>184</v>
      </c>
      <c r="D85" s="1" t="s">
        <v>15</v>
      </c>
      <c r="E85" s="5" t="s">
        <v>16</v>
      </c>
      <c r="F85" s="6" t="s">
        <v>351</v>
      </c>
      <c r="G85" s="7" t="s">
        <v>352</v>
      </c>
      <c r="H85" s="7" t="s">
        <v>353</v>
      </c>
      <c r="I85" s="7" t="s">
        <v>188</v>
      </c>
      <c r="J85" s="8" t="s">
        <v>354</v>
      </c>
      <c r="K85" s="6" t="s">
        <v>355</v>
      </c>
      <c r="L85" s="9" t="s">
        <v>23</v>
      </c>
      <c r="M85" s="2" t="n">
        <v>44488</v>
      </c>
    </row>
    <row r="86" customFormat="false" ht="66" hidden="false" customHeight="false" outlineLevel="0" collapsed="false">
      <c r="A86" s="1" t="n">
        <v>2021</v>
      </c>
      <c r="B86" s="1" t="s">
        <v>356</v>
      </c>
      <c r="C86" s="1" t="s">
        <v>357</v>
      </c>
      <c r="D86" s="1" t="s">
        <v>358</v>
      </c>
      <c r="E86" s="5" t="s">
        <v>16</v>
      </c>
      <c r="F86" s="6" t="s">
        <v>359</v>
      </c>
      <c r="G86" s="7" t="s">
        <v>360</v>
      </c>
      <c r="H86" s="7" t="s">
        <v>361</v>
      </c>
      <c r="I86" s="7" t="s">
        <v>362</v>
      </c>
      <c r="J86" s="8" t="s">
        <v>363</v>
      </c>
      <c r="K86" s="6" t="s">
        <v>364</v>
      </c>
      <c r="L86" s="9" t="s">
        <v>23</v>
      </c>
      <c r="M86" s="2" t="n">
        <v>44949</v>
      </c>
    </row>
    <row r="87" customFormat="false" ht="66" hidden="false" customHeight="false" outlineLevel="0" collapsed="false">
      <c r="A87" s="1" t="n">
        <v>2021</v>
      </c>
      <c r="B87" s="1" t="s">
        <v>356</v>
      </c>
      <c r="C87" s="1" t="s">
        <v>357</v>
      </c>
      <c r="D87" s="1" t="s">
        <v>358</v>
      </c>
      <c r="E87" s="5" t="s">
        <v>16</v>
      </c>
      <c r="F87" s="6" t="s">
        <v>359</v>
      </c>
      <c r="G87" s="7" t="s">
        <v>360</v>
      </c>
      <c r="H87" s="7" t="s">
        <v>361</v>
      </c>
      <c r="I87" s="7" t="s">
        <v>362</v>
      </c>
      <c r="J87" s="8" t="s">
        <v>365</v>
      </c>
      <c r="K87" s="6" t="s">
        <v>366</v>
      </c>
      <c r="L87" s="9" t="s">
        <v>23</v>
      </c>
      <c r="M87" s="2" t="n">
        <v>44949</v>
      </c>
    </row>
    <row r="88" customFormat="false" ht="66" hidden="false" customHeight="false" outlineLevel="0" collapsed="false">
      <c r="A88" s="1" t="n">
        <v>2021</v>
      </c>
      <c r="B88" s="1" t="s">
        <v>356</v>
      </c>
      <c r="C88" s="1" t="s">
        <v>357</v>
      </c>
      <c r="D88" s="1" t="s">
        <v>358</v>
      </c>
      <c r="E88" s="5" t="s">
        <v>16</v>
      </c>
      <c r="F88" s="6" t="s">
        <v>359</v>
      </c>
      <c r="G88" s="7" t="s">
        <v>360</v>
      </c>
      <c r="H88" s="7" t="s">
        <v>361</v>
      </c>
      <c r="I88" s="7" t="s">
        <v>362</v>
      </c>
      <c r="J88" s="8" t="s">
        <v>367</v>
      </c>
      <c r="K88" s="6" t="s">
        <v>368</v>
      </c>
      <c r="L88" s="9" t="s">
        <v>23</v>
      </c>
      <c r="M88" s="2" t="n">
        <v>44949</v>
      </c>
    </row>
    <row r="89" customFormat="false" ht="66" hidden="false" customHeight="false" outlineLevel="0" collapsed="false">
      <c r="A89" s="1" t="n">
        <v>2021</v>
      </c>
      <c r="B89" s="1" t="s">
        <v>356</v>
      </c>
      <c r="C89" s="1" t="s">
        <v>357</v>
      </c>
      <c r="D89" s="1" t="s">
        <v>358</v>
      </c>
      <c r="E89" s="5" t="s">
        <v>16</v>
      </c>
      <c r="F89" s="6" t="s">
        <v>369</v>
      </c>
      <c r="G89" s="7" t="s">
        <v>370</v>
      </c>
      <c r="H89" s="7" t="s">
        <v>371</v>
      </c>
      <c r="I89" s="7" t="s">
        <v>362</v>
      </c>
      <c r="J89" s="8" t="s">
        <v>372</v>
      </c>
      <c r="K89" s="6" t="s">
        <v>373</v>
      </c>
      <c r="L89" s="9" t="s">
        <v>23</v>
      </c>
      <c r="M89" s="2" t="n">
        <v>44949</v>
      </c>
    </row>
    <row r="90" customFormat="false" ht="66" hidden="false" customHeight="false" outlineLevel="0" collapsed="false">
      <c r="A90" s="1" t="n">
        <v>2021</v>
      </c>
      <c r="B90" s="1" t="s">
        <v>356</v>
      </c>
      <c r="C90" s="1" t="s">
        <v>357</v>
      </c>
      <c r="D90" s="1" t="s">
        <v>358</v>
      </c>
      <c r="E90" s="5" t="s">
        <v>16</v>
      </c>
      <c r="F90" s="6" t="s">
        <v>369</v>
      </c>
      <c r="G90" s="7" t="s">
        <v>370</v>
      </c>
      <c r="H90" s="7" t="s">
        <v>371</v>
      </c>
      <c r="I90" s="7" t="s">
        <v>362</v>
      </c>
      <c r="J90" s="8" t="s">
        <v>374</v>
      </c>
      <c r="K90" s="6" t="s">
        <v>375</v>
      </c>
      <c r="L90" s="9" t="s">
        <v>23</v>
      </c>
      <c r="M90" s="2" t="n">
        <v>44949</v>
      </c>
    </row>
    <row r="91" customFormat="false" ht="66" hidden="false" customHeight="false" outlineLevel="0" collapsed="false">
      <c r="A91" s="1" t="n">
        <v>2021</v>
      </c>
      <c r="B91" s="1" t="s">
        <v>356</v>
      </c>
      <c r="C91" s="1" t="s">
        <v>357</v>
      </c>
      <c r="D91" s="1" t="s">
        <v>358</v>
      </c>
      <c r="E91" s="5" t="s">
        <v>16</v>
      </c>
      <c r="F91" s="6" t="s">
        <v>369</v>
      </c>
      <c r="G91" s="7" t="s">
        <v>370</v>
      </c>
      <c r="H91" s="7" t="s">
        <v>371</v>
      </c>
      <c r="I91" s="7" t="s">
        <v>362</v>
      </c>
      <c r="J91" s="8" t="s">
        <v>376</v>
      </c>
      <c r="K91" s="6" t="s">
        <v>377</v>
      </c>
      <c r="L91" s="9" t="s">
        <v>23</v>
      </c>
      <c r="M91" s="2" t="n">
        <v>44949</v>
      </c>
    </row>
    <row r="92" customFormat="false" ht="132" hidden="false" customHeight="false" outlineLevel="0" collapsed="false">
      <c r="A92" s="1" t="n">
        <v>2021</v>
      </c>
      <c r="B92" s="1" t="s">
        <v>356</v>
      </c>
      <c r="C92" s="1" t="s">
        <v>357</v>
      </c>
      <c r="D92" s="1" t="s">
        <v>358</v>
      </c>
      <c r="E92" s="5" t="s">
        <v>16</v>
      </c>
      <c r="F92" s="6" t="s">
        <v>378</v>
      </c>
      <c r="G92" s="7" t="s">
        <v>379</v>
      </c>
      <c r="H92" s="7" t="s">
        <v>380</v>
      </c>
      <c r="I92" s="7" t="s">
        <v>381</v>
      </c>
      <c r="J92" s="8" t="s">
        <v>382</v>
      </c>
      <c r="K92" s="6" t="s">
        <v>383</v>
      </c>
      <c r="L92" s="9" t="s">
        <v>23</v>
      </c>
      <c r="M92" s="2" t="n">
        <v>44658</v>
      </c>
    </row>
    <row r="93" customFormat="false" ht="132" hidden="false" customHeight="false" outlineLevel="0" collapsed="false">
      <c r="A93" s="1" t="n">
        <v>2021</v>
      </c>
      <c r="B93" s="1" t="s">
        <v>356</v>
      </c>
      <c r="C93" s="1" t="s">
        <v>357</v>
      </c>
      <c r="D93" s="1" t="s">
        <v>358</v>
      </c>
      <c r="E93" s="5" t="s">
        <v>16</v>
      </c>
      <c r="F93" s="6" t="s">
        <v>378</v>
      </c>
      <c r="G93" s="7" t="s">
        <v>379</v>
      </c>
      <c r="H93" s="7" t="s">
        <v>380</v>
      </c>
      <c r="I93" s="7" t="s">
        <v>381</v>
      </c>
      <c r="J93" s="8" t="s">
        <v>384</v>
      </c>
      <c r="K93" s="6" t="s">
        <v>385</v>
      </c>
      <c r="L93" s="9" t="s">
        <v>23</v>
      </c>
      <c r="M93" s="2" t="n">
        <v>44949</v>
      </c>
    </row>
    <row r="94" customFormat="false" ht="49.5" hidden="false" customHeight="false" outlineLevel="0" collapsed="false">
      <c r="A94" s="1" t="n">
        <v>2021</v>
      </c>
      <c r="B94" s="1" t="s">
        <v>356</v>
      </c>
      <c r="C94" s="1" t="s">
        <v>357</v>
      </c>
      <c r="D94" s="1" t="s">
        <v>358</v>
      </c>
      <c r="E94" s="5" t="s">
        <v>16</v>
      </c>
      <c r="F94" s="6" t="s">
        <v>386</v>
      </c>
      <c r="G94" s="7" t="s">
        <v>387</v>
      </c>
      <c r="H94" s="7" t="s">
        <v>388</v>
      </c>
      <c r="I94" s="7" t="s">
        <v>381</v>
      </c>
      <c r="J94" s="8" t="s">
        <v>389</v>
      </c>
      <c r="K94" s="6" t="s">
        <v>390</v>
      </c>
      <c r="L94" s="9" t="s">
        <v>23</v>
      </c>
      <c r="M94" s="2" t="n">
        <v>44658</v>
      </c>
    </row>
    <row r="95" customFormat="false" ht="49.5" hidden="false" customHeight="false" outlineLevel="0" collapsed="false">
      <c r="A95" s="1" t="n">
        <v>2021</v>
      </c>
      <c r="B95" s="1" t="s">
        <v>356</v>
      </c>
      <c r="C95" s="1" t="s">
        <v>357</v>
      </c>
      <c r="D95" s="1" t="s">
        <v>358</v>
      </c>
      <c r="E95" s="5" t="s">
        <v>16</v>
      </c>
      <c r="F95" s="6" t="s">
        <v>386</v>
      </c>
      <c r="G95" s="7" t="s">
        <v>387</v>
      </c>
      <c r="H95" s="7" t="s">
        <v>388</v>
      </c>
      <c r="I95" s="7" t="s">
        <v>381</v>
      </c>
      <c r="J95" s="8" t="s">
        <v>391</v>
      </c>
      <c r="K95" s="6" t="s">
        <v>392</v>
      </c>
      <c r="L95" s="9" t="s">
        <v>23</v>
      </c>
      <c r="M95" s="2" t="n">
        <v>44949</v>
      </c>
    </row>
    <row r="96" customFormat="false" ht="99" hidden="false" customHeight="false" outlineLevel="0" collapsed="false">
      <c r="A96" s="1" t="n">
        <v>2021</v>
      </c>
      <c r="B96" s="1" t="s">
        <v>356</v>
      </c>
      <c r="C96" s="1" t="s">
        <v>357</v>
      </c>
      <c r="D96" s="1" t="s">
        <v>358</v>
      </c>
      <c r="E96" s="5" t="s">
        <v>16</v>
      </c>
      <c r="F96" s="6" t="s">
        <v>393</v>
      </c>
      <c r="G96" s="7" t="s">
        <v>394</v>
      </c>
      <c r="H96" s="7" t="s">
        <v>388</v>
      </c>
      <c r="I96" s="7" t="s">
        <v>381</v>
      </c>
      <c r="J96" s="8" t="s">
        <v>395</v>
      </c>
      <c r="K96" s="6" t="s">
        <v>396</v>
      </c>
      <c r="L96" s="9" t="s">
        <v>23</v>
      </c>
      <c r="M96" s="2" t="n">
        <v>44658</v>
      </c>
    </row>
    <row r="97" customFormat="false" ht="99" hidden="false" customHeight="false" outlineLevel="0" collapsed="false">
      <c r="A97" s="1" t="n">
        <v>2021</v>
      </c>
      <c r="B97" s="1" t="s">
        <v>356</v>
      </c>
      <c r="C97" s="1" t="s">
        <v>357</v>
      </c>
      <c r="D97" s="1" t="s">
        <v>358</v>
      </c>
      <c r="E97" s="5" t="s">
        <v>16</v>
      </c>
      <c r="F97" s="6" t="s">
        <v>393</v>
      </c>
      <c r="G97" s="7" t="s">
        <v>394</v>
      </c>
      <c r="H97" s="7" t="s">
        <v>388</v>
      </c>
      <c r="I97" s="7" t="s">
        <v>381</v>
      </c>
      <c r="J97" s="8" t="s">
        <v>397</v>
      </c>
      <c r="K97" s="6" t="s">
        <v>398</v>
      </c>
      <c r="L97" s="9" t="s">
        <v>23</v>
      </c>
      <c r="M97" s="2" t="n">
        <v>44949</v>
      </c>
    </row>
    <row r="98" customFormat="false" ht="74.25" hidden="false" customHeight="false" outlineLevel="0" collapsed="false">
      <c r="A98" s="1" t="n">
        <v>2021</v>
      </c>
      <c r="B98" s="1" t="s">
        <v>356</v>
      </c>
      <c r="C98" s="1" t="s">
        <v>357</v>
      </c>
      <c r="D98" s="1" t="s">
        <v>358</v>
      </c>
      <c r="E98" s="5" t="s">
        <v>16</v>
      </c>
      <c r="F98" s="6" t="s">
        <v>399</v>
      </c>
      <c r="G98" s="7" t="s">
        <v>400</v>
      </c>
      <c r="H98" s="7" t="s">
        <v>401</v>
      </c>
      <c r="I98" s="7" t="s">
        <v>362</v>
      </c>
      <c r="J98" s="8" t="s">
        <v>402</v>
      </c>
      <c r="K98" s="6" t="s">
        <v>403</v>
      </c>
      <c r="L98" s="9" t="s">
        <v>23</v>
      </c>
      <c r="M98" s="2" t="n">
        <v>45117</v>
      </c>
    </row>
    <row r="99" customFormat="false" ht="74.25" hidden="false" customHeight="false" outlineLevel="0" collapsed="false">
      <c r="A99" s="1" t="n">
        <v>2021</v>
      </c>
      <c r="B99" s="1" t="s">
        <v>356</v>
      </c>
      <c r="C99" s="1" t="s">
        <v>357</v>
      </c>
      <c r="D99" s="1" t="s">
        <v>358</v>
      </c>
      <c r="E99" s="5" t="s">
        <v>16</v>
      </c>
      <c r="F99" s="6" t="s">
        <v>399</v>
      </c>
      <c r="G99" s="7" t="s">
        <v>400</v>
      </c>
      <c r="H99" s="7" t="s">
        <v>401</v>
      </c>
      <c r="I99" s="7" t="s">
        <v>362</v>
      </c>
      <c r="J99" s="8" t="s">
        <v>404</v>
      </c>
      <c r="K99" s="6" t="s">
        <v>405</v>
      </c>
      <c r="L99" s="9" t="s">
        <v>23</v>
      </c>
      <c r="M99" s="2" t="n">
        <v>45117</v>
      </c>
    </row>
    <row r="100" customFormat="false" ht="74.25" hidden="false" customHeight="false" outlineLevel="0" collapsed="false">
      <c r="A100" s="1" t="n">
        <v>2021</v>
      </c>
      <c r="B100" s="1" t="s">
        <v>356</v>
      </c>
      <c r="C100" s="1" t="s">
        <v>357</v>
      </c>
      <c r="D100" s="1" t="s">
        <v>358</v>
      </c>
      <c r="E100" s="5" t="s">
        <v>16</v>
      </c>
      <c r="F100" s="6" t="s">
        <v>399</v>
      </c>
      <c r="G100" s="7" t="s">
        <v>400</v>
      </c>
      <c r="H100" s="7" t="s">
        <v>401</v>
      </c>
      <c r="I100" s="7" t="s">
        <v>362</v>
      </c>
      <c r="J100" s="8" t="s">
        <v>406</v>
      </c>
      <c r="K100" s="6" t="s">
        <v>407</v>
      </c>
      <c r="L100" s="9" t="s">
        <v>23</v>
      </c>
      <c r="M100" s="2" t="n">
        <v>45117</v>
      </c>
    </row>
    <row r="101" customFormat="false" ht="74.25" hidden="false" customHeight="false" outlineLevel="0" collapsed="false">
      <c r="A101" s="1" t="n">
        <v>2021</v>
      </c>
      <c r="B101" s="1" t="s">
        <v>356</v>
      </c>
      <c r="C101" s="1" t="s">
        <v>357</v>
      </c>
      <c r="D101" s="1" t="s">
        <v>358</v>
      </c>
      <c r="E101" s="5" t="s">
        <v>16</v>
      </c>
      <c r="F101" s="6" t="s">
        <v>399</v>
      </c>
      <c r="G101" s="7" t="s">
        <v>400</v>
      </c>
      <c r="H101" s="7" t="s">
        <v>401</v>
      </c>
      <c r="I101" s="7" t="s">
        <v>362</v>
      </c>
      <c r="J101" s="8" t="s">
        <v>408</v>
      </c>
      <c r="K101" s="6" t="s">
        <v>409</v>
      </c>
      <c r="L101" s="9" t="s">
        <v>23</v>
      </c>
      <c r="M101" s="2" t="n">
        <v>45117</v>
      </c>
    </row>
    <row r="102" customFormat="false" ht="99" hidden="false" customHeight="false" outlineLevel="0" collapsed="false">
      <c r="A102" s="1" t="n">
        <v>2021</v>
      </c>
      <c r="B102" s="1" t="s">
        <v>356</v>
      </c>
      <c r="C102" s="1" t="s">
        <v>357</v>
      </c>
      <c r="D102" s="1" t="s">
        <v>358</v>
      </c>
      <c r="E102" s="5" t="s">
        <v>16</v>
      </c>
      <c r="F102" s="6" t="s">
        <v>410</v>
      </c>
      <c r="G102" s="7" t="s">
        <v>411</v>
      </c>
      <c r="H102" s="7" t="s">
        <v>412</v>
      </c>
      <c r="I102" s="7" t="s">
        <v>381</v>
      </c>
      <c r="J102" s="8" t="s">
        <v>413</v>
      </c>
      <c r="K102" s="6" t="s">
        <v>414</v>
      </c>
      <c r="L102" s="9" t="s">
        <v>23</v>
      </c>
      <c r="M102" s="2" t="n">
        <v>45117</v>
      </c>
    </row>
    <row r="103" customFormat="false" ht="99" hidden="false" customHeight="false" outlineLevel="0" collapsed="false">
      <c r="A103" s="1" t="n">
        <v>2021</v>
      </c>
      <c r="B103" s="1" t="s">
        <v>356</v>
      </c>
      <c r="C103" s="1" t="s">
        <v>357</v>
      </c>
      <c r="D103" s="1" t="s">
        <v>358</v>
      </c>
      <c r="E103" s="5" t="s">
        <v>16</v>
      </c>
      <c r="F103" s="6" t="s">
        <v>410</v>
      </c>
      <c r="G103" s="7" t="s">
        <v>411</v>
      </c>
      <c r="H103" s="7" t="s">
        <v>412</v>
      </c>
      <c r="I103" s="7" t="s">
        <v>381</v>
      </c>
      <c r="J103" s="8" t="s">
        <v>415</v>
      </c>
      <c r="K103" s="6" t="s">
        <v>416</v>
      </c>
      <c r="L103" s="9" t="s">
        <v>23</v>
      </c>
      <c r="M103" s="2" t="n">
        <v>44949</v>
      </c>
    </row>
    <row r="104" customFormat="false" ht="99" hidden="false" customHeight="false" outlineLevel="0" collapsed="false">
      <c r="A104" s="1" t="n">
        <v>2021</v>
      </c>
      <c r="B104" s="1" t="s">
        <v>356</v>
      </c>
      <c r="C104" s="1" t="s">
        <v>357</v>
      </c>
      <c r="D104" s="1" t="s">
        <v>358</v>
      </c>
      <c r="E104" s="5" t="s">
        <v>16</v>
      </c>
      <c r="F104" s="6" t="s">
        <v>410</v>
      </c>
      <c r="G104" s="7" t="s">
        <v>411</v>
      </c>
      <c r="H104" s="7" t="s">
        <v>412</v>
      </c>
      <c r="I104" s="7" t="s">
        <v>381</v>
      </c>
      <c r="J104" s="8" t="s">
        <v>417</v>
      </c>
      <c r="K104" s="6" t="s">
        <v>418</v>
      </c>
      <c r="L104" s="9" t="s">
        <v>23</v>
      </c>
      <c r="M104" s="2" t="n">
        <v>45117</v>
      </c>
    </row>
    <row r="105" customFormat="false" ht="99" hidden="false" customHeight="false" outlineLevel="0" collapsed="false">
      <c r="A105" s="1" t="n">
        <v>2021</v>
      </c>
      <c r="B105" s="1" t="s">
        <v>356</v>
      </c>
      <c r="C105" s="1" t="s">
        <v>357</v>
      </c>
      <c r="D105" s="1" t="s">
        <v>358</v>
      </c>
      <c r="E105" s="5" t="s">
        <v>16</v>
      </c>
      <c r="F105" s="6" t="s">
        <v>410</v>
      </c>
      <c r="G105" s="7" t="s">
        <v>411</v>
      </c>
      <c r="H105" s="7" t="s">
        <v>412</v>
      </c>
      <c r="I105" s="7" t="s">
        <v>381</v>
      </c>
      <c r="J105" s="8" t="s">
        <v>419</v>
      </c>
      <c r="K105" s="6" t="s">
        <v>420</v>
      </c>
      <c r="L105" s="9" t="s">
        <v>23</v>
      </c>
      <c r="M105" s="2" t="n">
        <v>45117</v>
      </c>
    </row>
    <row r="106" customFormat="false" ht="74.25" hidden="false" customHeight="false" outlineLevel="0" collapsed="false">
      <c r="A106" s="1" t="n">
        <v>2021</v>
      </c>
      <c r="B106" s="1" t="s">
        <v>356</v>
      </c>
      <c r="C106" s="1" t="s">
        <v>357</v>
      </c>
      <c r="D106" s="1" t="s">
        <v>358</v>
      </c>
      <c r="E106" s="5" t="s">
        <v>16</v>
      </c>
      <c r="F106" s="6" t="s">
        <v>421</v>
      </c>
      <c r="G106" s="7" t="s">
        <v>422</v>
      </c>
      <c r="H106" s="7" t="s">
        <v>423</v>
      </c>
      <c r="I106" s="7" t="s">
        <v>362</v>
      </c>
      <c r="J106" s="8" t="s">
        <v>424</v>
      </c>
      <c r="K106" s="6" t="s">
        <v>425</v>
      </c>
      <c r="L106" s="9" t="s">
        <v>23</v>
      </c>
      <c r="M106" s="2" t="n">
        <v>45117</v>
      </c>
    </row>
    <row r="107" customFormat="false" ht="74.25" hidden="false" customHeight="false" outlineLevel="0" collapsed="false">
      <c r="A107" s="1" t="n">
        <v>2021</v>
      </c>
      <c r="B107" s="1" t="s">
        <v>356</v>
      </c>
      <c r="C107" s="1" t="s">
        <v>357</v>
      </c>
      <c r="D107" s="1" t="s">
        <v>358</v>
      </c>
      <c r="E107" s="5" t="s">
        <v>16</v>
      </c>
      <c r="F107" s="6" t="s">
        <v>421</v>
      </c>
      <c r="G107" s="7" t="s">
        <v>422</v>
      </c>
      <c r="H107" s="7" t="s">
        <v>423</v>
      </c>
      <c r="I107" s="7" t="s">
        <v>362</v>
      </c>
      <c r="J107" s="8" t="s">
        <v>426</v>
      </c>
      <c r="K107" s="6" t="s">
        <v>427</v>
      </c>
      <c r="L107" s="9" t="s">
        <v>23</v>
      </c>
      <c r="M107" s="2" t="n">
        <v>45034</v>
      </c>
    </row>
    <row r="108" customFormat="false" ht="74.25" hidden="false" customHeight="false" outlineLevel="0" collapsed="false">
      <c r="A108" s="1" t="n">
        <v>2021</v>
      </c>
      <c r="B108" s="1" t="s">
        <v>356</v>
      </c>
      <c r="C108" s="1" t="s">
        <v>357</v>
      </c>
      <c r="D108" s="1" t="s">
        <v>358</v>
      </c>
      <c r="E108" s="5" t="s">
        <v>16</v>
      </c>
      <c r="F108" s="6" t="s">
        <v>421</v>
      </c>
      <c r="G108" s="7" t="s">
        <v>422</v>
      </c>
      <c r="H108" s="7" t="s">
        <v>423</v>
      </c>
      <c r="I108" s="7" t="s">
        <v>362</v>
      </c>
      <c r="J108" s="8" t="s">
        <v>428</v>
      </c>
      <c r="K108" s="6" t="s">
        <v>429</v>
      </c>
      <c r="L108" s="9" t="s">
        <v>23</v>
      </c>
      <c r="M108" s="2" t="n">
        <v>45117</v>
      </c>
    </row>
    <row r="109" customFormat="false" ht="74.25" hidden="false" customHeight="false" outlineLevel="0" collapsed="false">
      <c r="A109" s="1" t="n">
        <v>2021</v>
      </c>
      <c r="B109" s="1" t="s">
        <v>356</v>
      </c>
      <c r="C109" s="1" t="s">
        <v>357</v>
      </c>
      <c r="D109" s="1" t="s">
        <v>358</v>
      </c>
      <c r="E109" s="5" t="s">
        <v>16</v>
      </c>
      <c r="F109" s="6" t="s">
        <v>421</v>
      </c>
      <c r="G109" s="7" t="s">
        <v>422</v>
      </c>
      <c r="H109" s="7" t="s">
        <v>423</v>
      </c>
      <c r="I109" s="7" t="s">
        <v>362</v>
      </c>
      <c r="J109" s="8" t="s">
        <v>430</v>
      </c>
      <c r="K109" s="6" t="s">
        <v>431</v>
      </c>
      <c r="L109" s="9" t="s">
        <v>23</v>
      </c>
      <c r="M109" s="2" t="n">
        <v>45117</v>
      </c>
    </row>
    <row r="110" customFormat="false" ht="74.25" hidden="false" customHeight="false" outlineLevel="0" collapsed="false">
      <c r="A110" s="1" t="n">
        <v>2021</v>
      </c>
      <c r="B110" s="1" t="s">
        <v>356</v>
      </c>
      <c r="C110" s="1" t="s">
        <v>357</v>
      </c>
      <c r="D110" s="1" t="s">
        <v>358</v>
      </c>
      <c r="E110" s="5" t="s">
        <v>16</v>
      </c>
      <c r="F110" s="6" t="s">
        <v>421</v>
      </c>
      <c r="G110" s="7" t="s">
        <v>422</v>
      </c>
      <c r="H110" s="7" t="s">
        <v>423</v>
      </c>
      <c r="I110" s="7" t="s">
        <v>362</v>
      </c>
      <c r="J110" s="8" t="s">
        <v>432</v>
      </c>
      <c r="K110" s="6" t="s">
        <v>433</v>
      </c>
      <c r="L110" s="9" t="s">
        <v>23</v>
      </c>
      <c r="M110" s="2" t="n">
        <v>45117</v>
      </c>
    </row>
    <row r="111" customFormat="false" ht="57.75" hidden="false" customHeight="false" outlineLevel="0" collapsed="false">
      <c r="A111" s="1" t="n">
        <v>2021</v>
      </c>
      <c r="B111" s="1" t="s">
        <v>356</v>
      </c>
      <c r="C111" s="1" t="s">
        <v>357</v>
      </c>
      <c r="D111" s="1" t="s">
        <v>358</v>
      </c>
      <c r="E111" s="5" t="s">
        <v>16</v>
      </c>
      <c r="F111" s="6" t="s">
        <v>434</v>
      </c>
      <c r="G111" s="7" t="s">
        <v>435</v>
      </c>
      <c r="H111" s="7" t="s">
        <v>436</v>
      </c>
      <c r="I111" s="7" t="s">
        <v>381</v>
      </c>
      <c r="J111" s="8" t="s">
        <v>437</v>
      </c>
      <c r="K111" s="6" t="s">
        <v>438</v>
      </c>
      <c r="L111" s="9" t="s">
        <v>23</v>
      </c>
      <c r="M111" s="2" t="n">
        <v>44949</v>
      </c>
    </row>
    <row r="112" customFormat="false" ht="57.75" hidden="false" customHeight="false" outlineLevel="0" collapsed="false">
      <c r="A112" s="1" t="n">
        <v>2021</v>
      </c>
      <c r="B112" s="1" t="s">
        <v>356</v>
      </c>
      <c r="C112" s="1" t="s">
        <v>357</v>
      </c>
      <c r="D112" s="1" t="s">
        <v>358</v>
      </c>
      <c r="E112" s="5" t="s">
        <v>16</v>
      </c>
      <c r="F112" s="6" t="s">
        <v>434</v>
      </c>
      <c r="G112" s="7" t="s">
        <v>435</v>
      </c>
      <c r="H112" s="7" t="s">
        <v>436</v>
      </c>
      <c r="I112" s="7" t="s">
        <v>381</v>
      </c>
      <c r="J112" s="8" t="s">
        <v>439</v>
      </c>
      <c r="K112" s="6" t="s">
        <v>440</v>
      </c>
      <c r="L112" s="9" t="s">
        <v>23</v>
      </c>
      <c r="M112" s="2" t="n">
        <v>45128</v>
      </c>
    </row>
    <row r="113" customFormat="false" ht="57.75" hidden="false" customHeight="false" outlineLevel="0" collapsed="false">
      <c r="A113" s="1" t="n">
        <v>2021</v>
      </c>
      <c r="B113" s="1" t="s">
        <v>356</v>
      </c>
      <c r="C113" s="1" t="s">
        <v>357</v>
      </c>
      <c r="D113" s="1" t="s">
        <v>358</v>
      </c>
      <c r="E113" s="5" t="s">
        <v>16</v>
      </c>
      <c r="F113" s="6" t="s">
        <v>434</v>
      </c>
      <c r="G113" s="7" t="s">
        <v>435</v>
      </c>
      <c r="H113" s="7" t="s">
        <v>436</v>
      </c>
      <c r="I113" s="7" t="s">
        <v>381</v>
      </c>
      <c r="J113" s="8" t="s">
        <v>441</v>
      </c>
      <c r="K113" s="6" t="s">
        <v>442</v>
      </c>
      <c r="L113" s="9" t="s">
        <v>23</v>
      </c>
      <c r="M113" s="2" t="n">
        <v>45117</v>
      </c>
    </row>
    <row r="114" customFormat="false" ht="57.75" hidden="false" customHeight="false" outlineLevel="0" collapsed="false">
      <c r="A114" s="1" t="n">
        <v>2021</v>
      </c>
      <c r="B114" s="1" t="s">
        <v>356</v>
      </c>
      <c r="C114" s="1" t="s">
        <v>357</v>
      </c>
      <c r="D114" s="1" t="s">
        <v>358</v>
      </c>
      <c r="E114" s="5" t="s">
        <v>16</v>
      </c>
      <c r="F114" s="6" t="s">
        <v>434</v>
      </c>
      <c r="G114" s="7" t="s">
        <v>435</v>
      </c>
      <c r="H114" s="7" t="s">
        <v>436</v>
      </c>
      <c r="I114" s="7" t="s">
        <v>381</v>
      </c>
      <c r="J114" s="8" t="s">
        <v>443</v>
      </c>
      <c r="K114" s="6" t="s">
        <v>444</v>
      </c>
      <c r="L114" s="9" t="s">
        <v>23</v>
      </c>
      <c r="M114" s="2" t="n">
        <v>45117</v>
      </c>
    </row>
    <row r="115" customFormat="false" ht="49.5" hidden="false" customHeight="false" outlineLevel="0" collapsed="false">
      <c r="A115" s="1" t="n">
        <v>2021</v>
      </c>
      <c r="B115" s="1" t="s">
        <v>356</v>
      </c>
      <c r="C115" s="1" t="s">
        <v>357</v>
      </c>
      <c r="D115" s="1" t="s">
        <v>358</v>
      </c>
      <c r="E115" s="5" t="s">
        <v>16</v>
      </c>
      <c r="F115" s="6" t="s">
        <v>445</v>
      </c>
      <c r="G115" s="7" t="s">
        <v>446</v>
      </c>
      <c r="H115" s="7" t="s">
        <v>447</v>
      </c>
      <c r="I115" s="7" t="s">
        <v>381</v>
      </c>
      <c r="J115" s="8" t="s">
        <v>448</v>
      </c>
      <c r="K115" s="6" t="s">
        <v>449</v>
      </c>
      <c r="L115" s="9" t="s">
        <v>23</v>
      </c>
      <c r="M115" s="2" t="n">
        <v>44658</v>
      </c>
    </row>
    <row r="116" customFormat="false" ht="49.5" hidden="false" customHeight="false" outlineLevel="0" collapsed="false">
      <c r="A116" s="1" t="n">
        <v>2021</v>
      </c>
      <c r="B116" s="1" t="s">
        <v>356</v>
      </c>
      <c r="C116" s="1" t="s">
        <v>357</v>
      </c>
      <c r="D116" s="1" t="s">
        <v>358</v>
      </c>
      <c r="E116" s="5" t="s">
        <v>16</v>
      </c>
      <c r="F116" s="6" t="s">
        <v>445</v>
      </c>
      <c r="G116" s="7" t="s">
        <v>446</v>
      </c>
      <c r="H116" s="7" t="s">
        <v>447</v>
      </c>
      <c r="I116" s="7" t="s">
        <v>381</v>
      </c>
      <c r="J116" s="8" t="s">
        <v>450</v>
      </c>
      <c r="K116" s="6" t="s">
        <v>451</v>
      </c>
      <c r="L116" s="9" t="s">
        <v>23</v>
      </c>
      <c r="M116" s="2" t="n">
        <v>44949</v>
      </c>
    </row>
    <row r="117" customFormat="false" ht="49.5" hidden="false" customHeight="false" outlineLevel="0" collapsed="false">
      <c r="A117" s="1" t="n">
        <v>2021</v>
      </c>
      <c r="B117" s="1" t="s">
        <v>356</v>
      </c>
      <c r="C117" s="1" t="s">
        <v>357</v>
      </c>
      <c r="D117" s="1" t="s">
        <v>358</v>
      </c>
      <c r="E117" s="5" t="s">
        <v>16</v>
      </c>
      <c r="F117" s="6" t="s">
        <v>445</v>
      </c>
      <c r="G117" s="7" t="s">
        <v>446</v>
      </c>
      <c r="H117" s="7" t="s">
        <v>447</v>
      </c>
      <c r="I117" s="7" t="s">
        <v>381</v>
      </c>
      <c r="J117" s="8" t="s">
        <v>452</v>
      </c>
      <c r="K117" s="6" t="s">
        <v>453</v>
      </c>
      <c r="L117" s="9" t="s">
        <v>23</v>
      </c>
      <c r="M117" s="2" t="n">
        <v>45117</v>
      </c>
    </row>
    <row r="118" customFormat="false" ht="49.5" hidden="false" customHeight="false" outlineLevel="0" collapsed="false">
      <c r="A118" s="1" t="n">
        <v>2021</v>
      </c>
      <c r="B118" s="1" t="s">
        <v>356</v>
      </c>
      <c r="C118" s="1" t="s">
        <v>357</v>
      </c>
      <c r="D118" s="1" t="s">
        <v>358</v>
      </c>
      <c r="E118" s="5" t="s">
        <v>16</v>
      </c>
      <c r="F118" s="6" t="s">
        <v>445</v>
      </c>
      <c r="G118" s="7" t="s">
        <v>446</v>
      </c>
      <c r="H118" s="7" t="s">
        <v>447</v>
      </c>
      <c r="I118" s="7" t="s">
        <v>381</v>
      </c>
      <c r="J118" s="8" t="s">
        <v>454</v>
      </c>
      <c r="K118" s="6" t="s">
        <v>455</v>
      </c>
      <c r="L118" s="9" t="s">
        <v>23</v>
      </c>
      <c r="M118" s="2" t="n">
        <v>45117</v>
      </c>
    </row>
    <row r="119" customFormat="false" ht="57.75" hidden="false" customHeight="false" outlineLevel="0" collapsed="false">
      <c r="A119" s="1" t="n">
        <v>2021</v>
      </c>
      <c r="B119" s="1" t="s">
        <v>456</v>
      </c>
      <c r="C119" s="1" t="s">
        <v>457</v>
      </c>
      <c r="D119" s="1" t="s">
        <v>458</v>
      </c>
      <c r="E119" s="5" t="s">
        <v>16</v>
      </c>
      <c r="F119" s="6" t="s">
        <v>459</v>
      </c>
      <c r="G119" s="7" t="s">
        <v>460</v>
      </c>
      <c r="H119" s="7" t="s">
        <v>461</v>
      </c>
      <c r="I119" s="7" t="s">
        <v>462</v>
      </c>
      <c r="J119" s="8" t="s">
        <v>463</v>
      </c>
      <c r="K119" s="6" t="s">
        <v>464</v>
      </c>
      <c r="L119" s="9" t="s">
        <v>23</v>
      </c>
      <c r="M119" s="2" t="n">
        <v>44658</v>
      </c>
    </row>
    <row r="120" customFormat="false" ht="74.25" hidden="false" customHeight="false" outlineLevel="0" collapsed="false">
      <c r="A120" s="1" t="n">
        <v>2021</v>
      </c>
      <c r="B120" s="1" t="s">
        <v>456</v>
      </c>
      <c r="C120" s="1" t="s">
        <v>457</v>
      </c>
      <c r="D120" s="1" t="s">
        <v>458</v>
      </c>
      <c r="E120" s="5" t="s">
        <v>16</v>
      </c>
      <c r="F120" s="6" t="s">
        <v>465</v>
      </c>
      <c r="G120" s="7" t="s">
        <v>466</v>
      </c>
      <c r="H120" s="7" t="s">
        <v>461</v>
      </c>
      <c r="I120" s="7" t="s">
        <v>462</v>
      </c>
      <c r="J120" s="8" t="s">
        <v>467</v>
      </c>
      <c r="K120" s="6" t="s">
        <v>468</v>
      </c>
      <c r="L120" s="9" t="s">
        <v>23</v>
      </c>
      <c r="M120" s="2" t="n">
        <v>45117</v>
      </c>
    </row>
    <row r="121" customFormat="false" ht="41.25" hidden="false" customHeight="false" outlineLevel="0" collapsed="false">
      <c r="A121" s="1" t="n">
        <v>2021</v>
      </c>
      <c r="B121" s="1" t="s">
        <v>456</v>
      </c>
      <c r="C121" s="1" t="s">
        <v>457</v>
      </c>
      <c r="D121" s="1" t="s">
        <v>458</v>
      </c>
      <c r="E121" s="5" t="s">
        <v>16</v>
      </c>
      <c r="F121" s="6" t="s">
        <v>469</v>
      </c>
      <c r="G121" s="7" t="s">
        <v>470</v>
      </c>
      <c r="H121" s="7" t="s">
        <v>471</v>
      </c>
      <c r="I121" s="7" t="s">
        <v>462</v>
      </c>
      <c r="J121" s="8" t="s">
        <v>472</v>
      </c>
      <c r="K121" s="6" t="s">
        <v>473</v>
      </c>
      <c r="L121" s="9" t="s">
        <v>23</v>
      </c>
      <c r="M121" s="2" t="n">
        <v>44841</v>
      </c>
    </row>
    <row r="122" customFormat="false" ht="41.25" hidden="false" customHeight="false" outlineLevel="0" collapsed="false">
      <c r="A122" s="1" t="n">
        <v>2021</v>
      </c>
      <c r="B122" s="1" t="s">
        <v>456</v>
      </c>
      <c r="C122" s="1" t="s">
        <v>457</v>
      </c>
      <c r="D122" s="1" t="s">
        <v>458</v>
      </c>
      <c r="E122" s="5" t="s">
        <v>16</v>
      </c>
      <c r="F122" s="6" t="s">
        <v>469</v>
      </c>
      <c r="G122" s="7" t="s">
        <v>470</v>
      </c>
      <c r="H122" s="7" t="s">
        <v>471</v>
      </c>
      <c r="I122" s="7" t="s">
        <v>462</v>
      </c>
      <c r="J122" s="8" t="s">
        <v>474</v>
      </c>
      <c r="K122" s="6" t="s">
        <v>475</v>
      </c>
      <c r="L122" s="9" t="s">
        <v>23</v>
      </c>
      <c r="M122" s="2" t="n">
        <v>44841</v>
      </c>
    </row>
    <row r="123" customFormat="false" ht="41.25" hidden="false" customHeight="false" outlineLevel="0" collapsed="false">
      <c r="A123" s="1" t="n">
        <v>2021</v>
      </c>
      <c r="B123" s="1" t="s">
        <v>456</v>
      </c>
      <c r="C123" s="1" t="s">
        <v>457</v>
      </c>
      <c r="D123" s="1" t="s">
        <v>458</v>
      </c>
      <c r="E123" s="5" t="s">
        <v>16</v>
      </c>
      <c r="F123" s="6" t="s">
        <v>469</v>
      </c>
      <c r="G123" s="7" t="s">
        <v>470</v>
      </c>
      <c r="H123" s="7" t="s">
        <v>471</v>
      </c>
      <c r="I123" s="7" t="s">
        <v>462</v>
      </c>
      <c r="J123" s="8" t="s">
        <v>476</v>
      </c>
      <c r="K123" s="6" t="s">
        <v>477</v>
      </c>
      <c r="L123" s="9" t="s">
        <v>23</v>
      </c>
      <c r="M123" s="2" t="n">
        <v>45117</v>
      </c>
    </row>
    <row r="124" customFormat="false" ht="41.25" hidden="false" customHeight="false" outlineLevel="0" collapsed="false">
      <c r="A124" s="1" t="n">
        <v>2021</v>
      </c>
      <c r="B124" s="1" t="s">
        <v>456</v>
      </c>
      <c r="C124" s="1" t="s">
        <v>457</v>
      </c>
      <c r="D124" s="1" t="s">
        <v>458</v>
      </c>
      <c r="E124" s="5" t="s">
        <v>16</v>
      </c>
      <c r="F124" s="6" t="s">
        <v>469</v>
      </c>
      <c r="G124" s="7" t="s">
        <v>470</v>
      </c>
      <c r="H124" s="7" t="s">
        <v>471</v>
      </c>
      <c r="I124" s="7" t="s">
        <v>462</v>
      </c>
      <c r="J124" s="8" t="s">
        <v>478</v>
      </c>
      <c r="K124" s="6" t="s">
        <v>479</v>
      </c>
      <c r="L124" s="9" t="s">
        <v>23</v>
      </c>
      <c r="M124" s="2" t="n">
        <v>44841</v>
      </c>
    </row>
    <row r="125" customFormat="false" ht="66" hidden="false" customHeight="false" outlineLevel="0" collapsed="false">
      <c r="A125" s="1" t="n">
        <v>2021</v>
      </c>
      <c r="B125" s="1" t="s">
        <v>456</v>
      </c>
      <c r="C125" s="1" t="s">
        <v>457</v>
      </c>
      <c r="D125" s="1" t="s">
        <v>458</v>
      </c>
      <c r="E125" s="5" t="s">
        <v>16</v>
      </c>
      <c r="F125" s="6" t="s">
        <v>480</v>
      </c>
      <c r="G125" s="7" t="s">
        <v>481</v>
      </c>
      <c r="H125" s="7" t="s">
        <v>471</v>
      </c>
      <c r="I125" s="7" t="s">
        <v>462</v>
      </c>
      <c r="J125" s="8" t="s">
        <v>482</v>
      </c>
      <c r="K125" s="6" t="s">
        <v>483</v>
      </c>
      <c r="L125" s="9" t="s">
        <v>23</v>
      </c>
      <c r="M125" s="2" t="n">
        <v>44841</v>
      </c>
    </row>
    <row r="126" customFormat="false" ht="57.75" hidden="false" customHeight="false" outlineLevel="0" collapsed="false">
      <c r="A126" s="1" t="n">
        <v>2021</v>
      </c>
      <c r="B126" s="1" t="s">
        <v>456</v>
      </c>
      <c r="C126" s="1" t="s">
        <v>457</v>
      </c>
      <c r="D126" s="1" t="s">
        <v>458</v>
      </c>
      <c r="E126" s="5" t="s">
        <v>16</v>
      </c>
      <c r="F126" s="6" t="s">
        <v>484</v>
      </c>
      <c r="G126" s="7" t="s">
        <v>485</v>
      </c>
      <c r="H126" s="7" t="s">
        <v>471</v>
      </c>
      <c r="I126" s="7" t="s">
        <v>462</v>
      </c>
      <c r="J126" s="8" t="s">
        <v>486</v>
      </c>
      <c r="K126" s="6" t="s">
        <v>487</v>
      </c>
      <c r="L126" s="9" t="s">
        <v>23</v>
      </c>
      <c r="M126" s="2" t="n">
        <v>44841</v>
      </c>
    </row>
    <row r="127" customFormat="false" ht="66" hidden="false" customHeight="false" outlineLevel="0" collapsed="false">
      <c r="A127" s="1" t="n">
        <v>2021</v>
      </c>
      <c r="B127" s="1" t="s">
        <v>456</v>
      </c>
      <c r="C127" s="1" t="s">
        <v>457</v>
      </c>
      <c r="D127" s="1" t="s">
        <v>458</v>
      </c>
      <c r="E127" s="5" t="s">
        <v>16</v>
      </c>
      <c r="F127" s="6" t="s">
        <v>488</v>
      </c>
      <c r="G127" s="7" t="s">
        <v>489</v>
      </c>
      <c r="H127" s="7" t="s">
        <v>471</v>
      </c>
      <c r="I127" s="7" t="s">
        <v>462</v>
      </c>
      <c r="J127" s="8" t="s">
        <v>490</v>
      </c>
      <c r="K127" s="6" t="s">
        <v>491</v>
      </c>
      <c r="L127" s="9" t="s">
        <v>23</v>
      </c>
      <c r="M127" s="2" t="n">
        <v>45033</v>
      </c>
    </row>
    <row r="128" customFormat="false" ht="57.75" hidden="false" customHeight="false" outlineLevel="0" collapsed="false">
      <c r="A128" s="1" t="n">
        <v>2021</v>
      </c>
      <c r="B128" s="1" t="s">
        <v>456</v>
      </c>
      <c r="C128" s="1" t="s">
        <v>457</v>
      </c>
      <c r="D128" s="1" t="s">
        <v>458</v>
      </c>
      <c r="E128" s="5" t="s">
        <v>16</v>
      </c>
      <c r="F128" s="6" t="s">
        <v>492</v>
      </c>
      <c r="G128" s="7" t="s">
        <v>493</v>
      </c>
      <c r="H128" s="7" t="s">
        <v>471</v>
      </c>
      <c r="I128" s="7" t="s">
        <v>462</v>
      </c>
      <c r="J128" s="8" t="s">
        <v>494</v>
      </c>
      <c r="K128" s="6" t="s">
        <v>495</v>
      </c>
      <c r="L128" s="9" t="s">
        <v>23</v>
      </c>
      <c r="M128" s="2" t="n">
        <v>44841</v>
      </c>
    </row>
    <row r="129" customFormat="false" ht="41.25" hidden="false" customHeight="false" outlineLevel="0" collapsed="false">
      <c r="A129" s="1" t="n">
        <v>2021</v>
      </c>
      <c r="B129" s="1" t="s">
        <v>496</v>
      </c>
      <c r="C129" s="1" t="s">
        <v>497</v>
      </c>
      <c r="D129" s="1" t="s">
        <v>498</v>
      </c>
      <c r="E129" s="5" t="s">
        <v>16</v>
      </c>
      <c r="F129" s="6" t="s">
        <v>499</v>
      </c>
      <c r="G129" s="7" t="s">
        <v>500</v>
      </c>
      <c r="H129" s="7" t="s">
        <v>501</v>
      </c>
      <c r="I129" s="7" t="s">
        <v>502</v>
      </c>
      <c r="J129" s="8" t="s">
        <v>503</v>
      </c>
      <c r="K129" s="6" t="s">
        <v>504</v>
      </c>
      <c r="L129" s="9" t="s">
        <v>23</v>
      </c>
      <c r="M129" s="2" t="n">
        <v>44945</v>
      </c>
    </row>
    <row r="130" customFormat="false" ht="36" hidden="false" customHeight="false" outlineLevel="0" collapsed="false">
      <c r="A130" s="1" t="n">
        <v>2021</v>
      </c>
      <c r="B130" s="1" t="s">
        <v>496</v>
      </c>
      <c r="C130" s="1" t="s">
        <v>497</v>
      </c>
      <c r="D130" s="1" t="s">
        <v>498</v>
      </c>
      <c r="E130" s="5" t="s">
        <v>16</v>
      </c>
      <c r="F130" s="6" t="s">
        <v>505</v>
      </c>
      <c r="G130" s="7" t="s">
        <v>506</v>
      </c>
      <c r="H130" s="7" t="s">
        <v>507</v>
      </c>
      <c r="I130" s="7" t="s">
        <v>508</v>
      </c>
      <c r="J130" s="8" t="s">
        <v>509</v>
      </c>
      <c r="K130" s="6" t="s">
        <v>510</v>
      </c>
      <c r="L130" s="9" t="s">
        <v>55</v>
      </c>
      <c r="M130" s="2" t="n">
        <v>45118</v>
      </c>
    </row>
    <row r="131" customFormat="false" ht="33" hidden="false" customHeight="false" outlineLevel="0" collapsed="false">
      <c r="A131" s="1" t="n">
        <v>2021</v>
      </c>
      <c r="B131" s="1" t="s">
        <v>496</v>
      </c>
      <c r="C131" s="1" t="s">
        <v>497</v>
      </c>
      <c r="D131" s="1" t="s">
        <v>498</v>
      </c>
      <c r="E131" s="5" t="s">
        <v>16</v>
      </c>
      <c r="F131" s="6" t="s">
        <v>511</v>
      </c>
      <c r="G131" s="7" t="s">
        <v>512</v>
      </c>
      <c r="H131" s="7" t="s">
        <v>513</v>
      </c>
      <c r="I131" s="7" t="s">
        <v>514</v>
      </c>
      <c r="J131" s="8" t="s">
        <v>515</v>
      </c>
      <c r="K131" s="6" t="s">
        <v>516</v>
      </c>
      <c r="L131" s="9" t="s">
        <v>55</v>
      </c>
      <c r="M131" s="2" t="n">
        <v>45119</v>
      </c>
    </row>
    <row r="132" customFormat="false" ht="49.5" hidden="false" customHeight="false" outlineLevel="0" collapsed="false">
      <c r="A132" s="1" t="n">
        <v>2021</v>
      </c>
      <c r="B132" s="1" t="s">
        <v>496</v>
      </c>
      <c r="C132" s="1" t="s">
        <v>497</v>
      </c>
      <c r="D132" s="1" t="s">
        <v>498</v>
      </c>
      <c r="E132" s="5" t="s">
        <v>16</v>
      </c>
      <c r="F132" s="6" t="s">
        <v>517</v>
      </c>
      <c r="G132" s="7" t="s">
        <v>518</v>
      </c>
      <c r="H132" s="7" t="s">
        <v>519</v>
      </c>
      <c r="I132" s="7" t="s">
        <v>520</v>
      </c>
      <c r="J132" s="8" t="s">
        <v>521</v>
      </c>
      <c r="K132" s="6" t="s">
        <v>522</v>
      </c>
      <c r="L132" s="9" t="s">
        <v>23</v>
      </c>
      <c r="M132" s="2" t="n">
        <v>45118</v>
      </c>
    </row>
    <row r="133" customFormat="false" ht="33" hidden="false" customHeight="false" outlineLevel="0" collapsed="false">
      <c r="A133" s="1" t="n">
        <v>2021</v>
      </c>
      <c r="B133" s="1" t="s">
        <v>496</v>
      </c>
      <c r="C133" s="1" t="s">
        <v>497</v>
      </c>
      <c r="D133" s="1" t="s">
        <v>498</v>
      </c>
      <c r="E133" s="5" t="s">
        <v>16</v>
      </c>
      <c r="F133" s="6" t="s">
        <v>523</v>
      </c>
      <c r="G133" s="7" t="s">
        <v>524</v>
      </c>
      <c r="H133" s="7" t="s">
        <v>525</v>
      </c>
      <c r="I133" s="7" t="s">
        <v>526</v>
      </c>
      <c r="J133" s="8" t="s">
        <v>527</v>
      </c>
      <c r="K133" s="6" t="s">
        <v>528</v>
      </c>
      <c r="L133" s="9" t="s">
        <v>23</v>
      </c>
      <c r="M133" s="2" t="n">
        <v>44841</v>
      </c>
    </row>
    <row r="134" customFormat="false" ht="33" hidden="false" customHeight="false" outlineLevel="0" collapsed="false">
      <c r="A134" s="1" t="n">
        <v>2021</v>
      </c>
      <c r="B134" s="1" t="s">
        <v>496</v>
      </c>
      <c r="C134" s="1" t="s">
        <v>497</v>
      </c>
      <c r="D134" s="1" t="s">
        <v>498</v>
      </c>
      <c r="E134" s="5" t="s">
        <v>16</v>
      </c>
      <c r="F134" s="6" t="s">
        <v>529</v>
      </c>
      <c r="G134" s="7" t="s">
        <v>530</v>
      </c>
      <c r="H134" s="7" t="s">
        <v>531</v>
      </c>
      <c r="I134" s="7" t="s">
        <v>532</v>
      </c>
      <c r="J134" s="8" t="s">
        <v>533</v>
      </c>
      <c r="K134" s="6" t="s">
        <v>534</v>
      </c>
      <c r="L134" s="9" t="s">
        <v>23</v>
      </c>
      <c r="M134" s="2" t="n">
        <v>44657</v>
      </c>
    </row>
    <row r="135" customFormat="false" ht="27" hidden="false" customHeight="false" outlineLevel="0" collapsed="false">
      <c r="A135" s="1" t="n">
        <v>2021</v>
      </c>
      <c r="B135" s="1" t="s">
        <v>496</v>
      </c>
      <c r="C135" s="1" t="s">
        <v>497</v>
      </c>
      <c r="D135" s="1" t="s">
        <v>498</v>
      </c>
      <c r="E135" s="5" t="s">
        <v>16</v>
      </c>
      <c r="F135" s="6" t="s">
        <v>535</v>
      </c>
      <c r="G135" s="7" t="s">
        <v>536</v>
      </c>
      <c r="H135" s="7" t="s">
        <v>537</v>
      </c>
      <c r="I135" s="7" t="s">
        <v>538</v>
      </c>
      <c r="J135" s="8" t="s">
        <v>539</v>
      </c>
      <c r="K135" s="6" t="s">
        <v>540</v>
      </c>
      <c r="L135" s="9" t="s">
        <v>23</v>
      </c>
      <c r="M135" s="2" t="n">
        <v>45118</v>
      </c>
    </row>
    <row r="136" customFormat="false" ht="41.25" hidden="false" customHeight="false" outlineLevel="0" collapsed="false">
      <c r="A136" s="1" t="n">
        <v>2021</v>
      </c>
      <c r="B136" s="1" t="s">
        <v>496</v>
      </c>
      <c r="C136" s="1" t="s">
        <v>497</v>
      </c>
      <c r="D136" s="1" t="s">
        <v>498</v>
      </c>
      <c r="E136" s="5" t="s">
        <v>16</v>
      </c>
      <c r="F136" s="6" t="s">
        <v>541</v>
      </c>
      <c r="G136" s="7" t="s">
        <v>542</v>
      </c>
      <c r="H136" s="7" t="s">
        <v>507</v>
      </c>
      <c r="I136" s="7" t="s">
        <v>543</v>
      </c>
      <c r="J136" s="8" t="s">
        <v>544</v>
      </c>
      <c r="K136" s="6" t="s">
        <v>545</v>
      </c>
      <c r="L136" s="9" t="s">
        <v>23</v>
      </c>
      <c r="M136" s="2" t="n">
        <v>44657</v>
      </c>
    </row>
    <row r="137" customFormat="false" ht="41.25" hidden="false" customHeight="false" outlineLevel="0" collapsed="false">
      <c r="A137" s="1" t="n">
        <v>2021</v>
      </c>
      <c r="B137" s="1" t="s">
        <v>496</v>
      </c>
      <c r="C137" s="1" t="s">
        <v>497</v>
      </c>
      <c r="D137" s="1" t="s">
        <v>498</v>
      </c>
      <c r="E137" s="5" t="s">
        <v>16</v>
      </c>
      <c r="F137" s="6" t="s">
        <v>546</v>
      </c>
      <c r="G137" s="7" t="s">
        <v>547</v>
      </c>
      <c r="H137" s="7" t="s">
        <v>548</v>
      </c>
      <c r="I137" s="7" t="s">
        <v>549</v>
      </c>
      <c r="J137" s="8" t="s">
        <v>550</v>
      </c>
      <c r="K137" s="6" t="s">
        <v>551</v>
      </c>
      <c r="L137" s="9" t="s">
        <v>23</v>
      </c>
      <c r="M137" s="2" t="n">
        <v>45118</v>
      </c>
    </row>
    <row r="138" customFormat="false" ht="49.5" hidden="false" customHeight="false" outlineLevel="0" collapsed="false">
      <c r="A138" s="1" t="n">
        <v>2021</v>
      </c>
      <c r="B138" s="1" t="s">
        <v>552</v>
      </c>
      <c r="C138" s="1" t="s">
        <v>553</v>
      </c>
      <c r="D138" s="1" t="s">
        <v>554</v>
      </c>
      <c r="E138" s="5" t="s">
        <v>16</v>
      </c>
      <c r="F138" s="6" t="s">
        <v>555</v>
      </c>
      <c r="G138" s="7" t="s">
        <v>556</v>
      </c>
      <c r="H138" s="7" t="s">
        <v>557</v>
      </c>
      <c r="I138" s="7" t="s">
        <v>558</v>
      </c>
      <c r="J138" s="8" t="s">
        <v>559</v>
      </c>
      <c r="K138" s="6" t="s">
        <v>560</v>
      </c>
      <c r="L138" s="9" t="s">
        <v>23</v>
      </c>
      <c r="M138" s="2" t="n">
        <v>44840</v>
      </c>
    </row>
    <row r="139" customFormat="false" ht="49.5" hidden="false" customHeight="false" outlineLevel="0" collapsed="false">
      <c r="A139" s="1" t="n">
        <v>2021</v>
      </c>
      <c r="B139" s="1" t="s">
        <v>552</v>
      </c>
      <c r="C139" s="1" t="s">
        <v>553</v>
      </c>
      <c r="D139" s="1" t="s">
        <v>554</v>
      </c>
      <c r="E139" s="5" t="s">
        <v>16</v>
      </c>
      <c r="F139" s="6" t="s">
        <v>555</v>
      </c>
      <c r="G139" s="7" t="s">
        <v>556</v>
      </c>
      <c r="H139" s="7" t="s">
        <v>557</v>
      </c>
      <c r="I139" s="7" t="s">
        <v>558</v>
      </c>
      <c r="J139" s="8" t="s">
        <v>561</v>
      </c>
      <c r="K139" s="6" t="s">
        <v>562</v>
      </c>
      <c r="L139" s="9" t="s">
        <v>23</v>
      </c>
      <c r="M139" s="2" t="n">
        <v>44943</v>
      </c>
    </row>
    <row r="140" customFormat="false" ht="49.5" hidden="false" customHeight="false" outlineLevel="0" collapsed="false">
      <c r="A140" s="1" t="n">
        <v>2021</v>
      </c>
      <c r="B140" s="1" t="s">
        <v>552</v>
      </c>
      <c r="C140" s="1" t="s">
        <v>553</v>
      </c>
      <c r="D140" s="1" t="s">
        <v>554</v>
      </c>
      <c r="E140" s="5" t="s">
        <v>16</v>
      </c>
      <c r="F140" s="6" t="s">
        <v>563</v>
      </c>
      <c r="G140" s="7" t="s">
        <v>564</v>
      </c>
      <c r="H140" s="7" t="s">
        <v>565</v>
      </c>
      <c r="I140" s="7" t="s">
        <v>558</v>
      </c>
      <c r="J140" s="8" t="s">
        <v>566</v>
      </c>
      <c r="K140" s="6" t="s">
        <v>567</v>
      </c>
      <c r="L140" s="9" t="s">
        <v>23</v>
      </c>
      <c r="M140" s="2" t="n">
        <v>44658</v>
      </c>
    </row>
    <row r="141" customFormat="false" ht="82.5" hidden="false" customHeight="false" outlineLevel="0" collapsed="false">
      <c r="A141" s="1" t="n">
        <v>2021</v>
      </c>
      <c r="B141" s="1" t="s">
        <v>552</v>
      </c>
      <c r="C141" s="1" t="s">
        <v>553</v>
      </c>
      <c r="D141" s="1" t="s">
        <v>554</v>
      </c>
      <c r="E141" s="5" t="s">
        <v>16</v>
      </c>
      <c r="F141" s="6" t="s">
        <v>568</v>
      </c>
      <c r="G141" s="7" t="s">
        <v>569</v>
      </c>
      <c r="H141" s="7" t="s">
        <v>570</v>
      </c>
      <c r="I141" s="7" t="s">
        <v>558</v>
      </c>
      <c r="J141" s="8" t="s">
        <v>571</v>
      </c>
      <c r="K141" s="6" t="s">
        <v>572</v>
      </c>
      <c r="L141" s="9" t="s">
        <v>23</v>
      </c>
      <c r="M141" s="2" t="n">
        <v>44840</v>
      </c>
    </row>
    <row r="142" customFormat="false" ht="27" hidden="false" customHeight="false" outlineLevel="0" collapsed="false">
      <c r="A142" s="1" t="n">
        <v>2021</v>
      </c>
      <c r="B142" s="1" t="s">
        <v>552</v>
      </c>
      <c r="C142" s="1" t="s">
        <v>553</v>
      </c>
      <c r="D142" s="1" t="s">
        <v>554</v>
      </c>
      <c r="E142" s="5" t="s">
        <v>16</v>
      </c>
      <c r="F142" s="6" t="s">
        <v>573</v>
      </c>
      <c r="G142" s="7" t="s">
        <v>574</v>
      </c>
      <c r="H142" s="7" t="s">
        <v>575</v>
      </c>
      <c r="I142" s="7" t="s">
        <v>558</v>
      </c>
      <c r="J142" s="8" t="s">
        <v>576</v>
      </c>
      <c r="K142" s="6" t="s">
        <v>577</v>
      </c>
      <c r="L142" s="9" t="s">
        <v>23</v>
      </c>
      <c r="M142" s="2" t="n">
        <v>44943</v>
      </c>
    </row>
    <row r="143" customFormat="false" ht="74.25" hidden="false" customHeight="false" outlineLevel="0" collapsed="false">
      <c r="A143" s="1" t="n">
        <v>2021</v>
      </c>
      <c r="B143" s="1" t="s">
        <v>552</v>
      </c>
      <c r="C143" s="1" t="s">
        <v>553</v>
      </c>
      <c r="D143" s="1" t="s">
        <v>554</v>
      </c>
      <c r="E143" s="5" t="s">
        <v>16</v>
      </c>
      <c r="F143" s="6" t="s">
        <v>578</v>
      </c>
      <c r="G143" s="7" t="s">
        <v>579</v>
      </c>
      <c r="H143" s="7" t="s">
        <v>580</v>
      </c>
      <c r="I143" s="7" t="s">
        <v>581</v>
      </c>
      <c r="J143" s="8" t="s">
        <v>582</v>
      </c>
      <c r="K143" s="6" t="s">
        <v>583</v>
      </c>
      <c r="L143" s="9" t="s">
        <v>55</v>
      </c>
      <c r="M143" s="2" t="n">
        <v>45114</v>
      </c>
    </row>
    <row r="144" customFormat="false" ht="82.5" hidden="false" customHeight="false" outlineLevel="0" collapsed="false">
      <c r="A144" s="1" t="n">
        <v>2021</v>
      </c>
      <c r="B144" s="1" t="s">
        <v>552</v>
      </c>
      <c r="C144" s="1" t="s">
        <v>553</v>
      </c>
      <c r="D144" s="1" t="s">
        <v>554</v>
      </c>
      <c r="E144" s="5" t="s">
        <v>16</v>
      </c>
      <c r="F144" s="6" t="s">
        <v>584</v>
      </c>
      <c r="G144" s="7" t="s">
        <v>585</v>
      </c>
      <c r="H144" s="7" t="s">
        <v>586</v>
      </c>
      <c r="I144" s="7" t="s">
        <v>558</v>
      </c>
      <c r="J144" s="8" t="s">
        <v>587</v>
      </c>
      <c r="K144" s="6" t="s">
        <v>588</v>
      </c>
      <c r="L144" s="9" t="s">
        <v>23</v>
      </c>
      <c r="M144" s="2" t="n">
        <v>45033</v>
      </c>
    </row>
    <row r="145" customFormat="false" ht="41.25" hidden="false" customHeight="false" outlineLevel="0" collapsed="false">
      <c r="A145" s="1" t="n">
        <v>2021</v>
      </c>
      <c r="B145" s="1" t="s">
        <v>552</v>
      </c>
      <c r="C145" s="1" t="s">
        <v>553</v>
      </c>
      <c r="D145" s="1" t="s">
        <v>554</v>
      </c>
      <c r="E145" s="5" t="s">
        <v>16</v>
      </c>
      <c r="F145" s="6" t="s">
        <v>589</v>
      </c>
      <c r="G145" s="7" t="s">
        <v>590</v>
      </c>
      <c r="H145" s="7" t="s">
        <v>591</v>
      </c>
      <c r="I145" s="7" t="s">
        <v>558</v>
      </c>
      <c r="J145" s="8" t="s">
        <v>592</v>
      </c>
      <c r="K145" s="6" t="s">
        <v>593</v>
      </c>
      <c r="L145" s="9" t="s">
        <v>23</v>
      </c>
      <c r="M145" s="2" t="n">
        <v>44840</v>
      </c>
    </row>
    <row r="146" customFormat="false" ht="49.5" hidden="false" customHeight="false" outlineLevel="0" collapsed="false">
      <c r="A146" s="1" t="n">
        <v>2021</v>
      </c>
      <c r="B146" s="1" t="s">
        <v>552</v>
      </c>
      <c r="C146" s="1" t="s">
        <v>553</v>
      </c>
      <c r="D146" s="1" t="s">
        <v>554</v>
      </c>
      <c r="E146" s="5" t="s">
        <v>16</v>
      </c>
      <c r="F146" s="6" t="s">
        <v>594</v>
      </c>
      <c r="G146" s="7" t="s">
        <v>595</v>
      </c>
      <c r="H146" s="7" t="s">
        <v>596</v>
      </c>
      <c r="I146" s="7" t="s">
        <v>581</v>
      </c>
      <c r="J146" s="8" t="s">
        <v>597</v>
      </c>
      <c r="K146" s="6" t="s">
        <v>598</v>
      </c>
      <c r="L146" s="9" t="s">
        <v>23</v>
      </c>
      <c r="M146" s="2" t="n">
        <v>44840</v>
      </c>
    </row>
    <row r="147" customFormat="false" ht="148.5" hidden="false" customHeight="false" outlineLevel="0" collapsed="false">
      <c r="A147" s="1" t="n">
        <v>2021</v>
      </c>
      <c r="B147" s="1" t="s">
        <v>552</v>
      </c>
      <c r="C147" s="1" t="s">
        <v>553</v>
      </c>
      <c r="D147" s="1" t="s">
        <v>554</v>
      </c>
      <c r="E147" s="5" t="s">
        <v>16</v>
      </c>
      <c r="F147" s="6" t="s">
        <v>599</v>
      </c>
      <c r="G147" s="7" t="s">
        <v>600</v>
      </c>
      <c r="H147" s="7" t="s">
        <v>601</v>
      </c>
      <c r="I147" s="7" t="s">
        <v>558</v>
      </c>
      <c r="J147" s="8" t="s">
        <v>602</v>
      </c>
      <c r="K147" s="6" t="s">
        <v>603</v>
      </c>
      <c r="L147" s="9" t="s">
        <v>23</v>
      </c>
      <c r="M147" s="2" t="n">
        <v>45033</v>
      </c>
    </row>
    <row r="148" customFormat="false" ht="66" hidden="false" customHeight="false" outlineLevel="0" collapsed="false">
      <c r="A148" s="1" t="n">
        <v>2021</v>
      </c>
      <c r="B148" s="1" t="s">
        <v>604</v>
      </c>
      <c r="C148" s="1" t="s">
        <v>605</v>
      </c>
      <c r="D148" s="1" t="s">
        <v>606</v>
      </c>
      <c r="E148" s="5" t="s">
        <v>16</v>
      </c>
      <c r="F148" s="6" t="s">
        <v>607</v>
      </c>
      <c r="G148" s="7" t="s">
        <v>608</v>
      </c>
      <c r="H148" s="7" t="s">
        <v>609</v>
      </c>
      <c r="I148" s="7" t="s">
        <v>610</v>
      </c>
      <c r="J148" s="8" t="s">
        <v>611</v>
      </c>
      <c r="K148" s="6" t="s">
        <v>612</v>
      </c>
      <c r="L148" s="9" t="s">
        <v>23</v>
      </c>
      <c r="M148" s="2" t="n">
        <v>44938</v>
      </c>
    </row>
    <row r="149" customFormat="false" ht="90.75" hidden="false" customHeight="false" outlineLevel="0" collapsed="false">
      <c r="A149" s="1" t="n">
        <v>2021</v>
      </c>
      <c r="B149" s="1" t="s">
        <v>604</v>
      </c>
      <c r="C149" s="1" t="s">
        <v>605</v>
      </c>
      <c r="D149" s="1" t="s">
        <v>606</v>
      </c>
      <c r="E149" s="5" t="s">
        <v>16</v>
      </c>
      <c r="F149" s="6" t="s">
        <v>613</v>
      </c>
      <c r="G149" s="7" t="s">
        <v>614</v>
      </c>
      <c r="H149" s="7" t="s">
        <v>615</v>
      </c>
      <c r="I149" s="7" t="s">
        <v>616</v>
      </c>
      <c r="J149" s="8" t="s">
        <v>617</v>
      </c>
      <c r="K149" s="6" t="s">
        <v>618</v>
      </c>
      <c r="L149" s="9" t="s">
        <v>23</v>
      </c>
      <c r="M149" s="2" t="n">
        <v>45028</v>
      </c>
    </row>
    <row r="150" customFormat="false" ht="107.25" hidden="false" customHeight="false" outlineLevel="0" collapsed="false">
      <c r="A150" s="1" t="n">
        <v>2021</v>
      </c>
      <c r="B150" s="1" t="s">
        <v>604</v>
      </c>
      <c r="C150" s="1" t="s">
        <v>605</v>
      </c>
      <c r="D150" s="1" t="s">
        <v>606</v>
      </c>
      <c r="E150" s="5" t="s">
        <v>16</v>
      </c>
      <c r="F150" s="6" t="s">
        <v>619</v>
      </c>
      <c r="G150" s="7" t="s">
        <v>620</v>
      </c>
      <c r="H150" s="7" t="s">
        <v>621</v>
      </c>
      <c r="I150" s="7" t="s">
        <v>622</v>
      </c>
      <c r="J150" s="8" t="s">
        <v>623</v>
      </c>
      <c r="K150" s="6" t="s">
        <v>624</v>
      </c>
      <c r="L150" s="9" t="s">
        <v>23</v>
      </c>
      <c r="M150" s="2" t="n">
        <v>45028</v>
      </c>
    </row>
    <row r="151" customFormat="false" ht="36" hidden="false" customHeight="false" outlineLevel="0" collapsed="false">
      <c r="A151" s="1" t="n">
        <v>2021</v>
      </c>
      <c r="B151" s="1" t="s">
        <v>604</v>
      </c>
      <c r="C151" s="1" t="s">
        <v>605</v>
      </c>
      <c r="D151" s="1" t="s">
        <v>606</v>
      </c>
      <c r="E151" s="5" t="s">
        <v>16</v>
      </c>
      <c r="F151" s="6" t="s">
        <v>625</v>
      </c>
      <c r="G151" s="7" t="s">
        <v>626</v>
      </c>
      <c r="H151" s="7" t="s">
        <v>627</v>
      </c>
      <c r="I151" s="7" t="s">
        <v>628</v>
      </c>
      <c r="J151" s="8" t="s">
        <v>629</v>
      </c>
      <c r="K151" s="6" t="s">
        <v>630</v>
      </c>
      <c r="L151" s="9" t="s">
        <v>23</v>
      </c>
      <c r="M151" s="2" t="n">
        <v>45028</v>
      </c>
    </row>
    <row r="152" customFormat="false" ht="90.75" hidden="false" customHeight="false" outlineLevel="0" collapsed="false">
      <c r="A152" s="1" t="n">
        <v>2021</v>
      </c>
      <c r="B152" s="1" t="s">
        <v>604</v>
      </c>
      <c r="C152" s="1" t="s">
        <v>605</v>
      </c>
      <c r="D152" s="1" t="s">
        <v>606</v>
      </c>
      <c r="E152" s="5" t="s">
        <v>16</v>
      </c>
      <c r="F152" s="6" t="s">
        <v>631</v>
      </c>
      <c r="G152" s="7" t="s">
        <v>632</v>
      </c>
      <c r="H152" s="7" t="s">
        <v>633</v>
      </c>
      <c r="I152" s="7" t="s">
        <v>616</v>
      </c>
      <c r="J152" s="8" t="s">
        <v>634</v>
      </c>
      <c r="K152" s="6" t="s">
        <v>635</v>
      </c>
      <c r="L152" s="9" t="s">
        <v>23</v>
      </c>
      <c r="M152" s="2" t="n">
        <v>45112</v>
      </c>
    </row>
    <row r="153" customFormat="false" ht="74.25" hidden="false" customHeight="false" outlineLevel="0" collapsed="false">
      <c r="A153" s="1" t="n">
        <v>2021</v>
      </c>
      <c r="B153" s="1" t="s">
        <v>604</v>
      </c>
      <c r="C153" s="1" t="s">
        <v>605</v>
      </c>
      <c r="D153" s="1" t="s">
        <v>606</v>
      </c>
      <c r="E153" s="5" t="s">
        <v>16</v>
      </c>
      <c r="F153" s="6" t="s">
        <v>636</v>
      </c>
      <c r="G153" s="7" t="s">
        <v>637</v>
      </c>
      <c r="H153" s="7" t="s">
        <v>638</v>
      </c>
      <c r="I153" s="7" t="s">
        <v>639</v>
      </c>
      <c r="J153" s="8" t="s">
        <v>640</v>
      </c>
      <c r="K153" s="6" t="s">
        <v>641</v>
      </c>
      <c r="L153" s="9" t="s">
        <v>23</v>
      </c>
      <c r="M153" s="2" t="n">
        <v>45028</v>
      </c>
    </row>
    <row r="154" customFormat="false" ht="74.25" hidden="false" customHeight="false" outlineLevel="0" collapsed="false">
      <c r="A154" s="1" t="n">
        <v>2021</v>
      </c>
      <c r="B154" s="1" t="s">
        <v>604</v>
      </c>
      <c r="C154" s="1" t="s">
        <v>605</v>
      </c>
      <c r="D154" s="1" t="s">
        <v>606</v>
      </c>
      <c r="E154" s="5" t="s">
        <v>16</v>
      </c>
      <c r="F154" s="6" t="s">
        <v>636</v>
      </c>
      <c r="G154" s="7" t="s">
        <v>637</v>
      </c>
      <c r="H154" s="7" t="s">
        <v>638</v>
      </c>
      <c r="I154" s="7" t="s">
        <v>639</v>
      </c>
      <c r="J154" s="8" t="s">
        <v>642</v>
      </c>
      <c r="K154" s="6" t="s">
        <v>643</v>
      </c>
      <c r="L154" s="9" t="s">
        <v>23</v>
      </c>
      <c r="M154" s="2" t="n">
        <v>45028</v>
      </c>
    </row>
    <row r="155" customFormat="false" ht="107.25" hidden="false" customHeight="false" outlineLevel="0" collapsed="false">
      <c r="A155" s="1" t="n">
        <v>2021</v>
      </c>
      <c r="B155" s="1" t="s">
        <v>604</v>
      </c>
      <c r="C155" s="1" t="s">
        <v>605</v>
      </c>
      <c r="D155" s="1" t="s">
        <v>606</v>
      </c>
      <c r="E155" s="5" t="s">
        <v>16</v>
      </c>
      <c r="F155" s="6" t="s">
        <v>644</v>
      </c>
      <c r="G155" s="7" t="s">
        <v>645</v>
      </c>
      <c r="H155" s="7" t="s">
        <v>646</v>
      </c>
      <c r="I155" s="7" t="s">
        <v>647</v>
      </c>
      <c r="J155" s="8" t="s">
        <v>648</v>
      </c>
      <c r="K155" s="6" t="s">
        <v>649</v>
      </c>
      <c r="L155" s="9" t="s">
        <v>23</v>
      </c>
      <c r="M155" s="2" t="n">
        <v>45028</v>
      </c>
    </row>
    <row r="156" customFormat="false" ht="107.25" hidden="false" customHeight="false" outlineLevel="0" collapsed="false">
      <c r="A156" s="1" t="n">
        <v>2021</v>
      </c>
      <c r="B156" s="1" t="s">
        <v>604</v>
      </c>
      <c r="C156" s="1" t="s">
        <v>605</v>
      </c>
      <c r="D156" s="1" t="s">
        <v>606</v>
      </c>
      <c r="E156" s="5" t="s">
        <v>16</v>
      </c>
      <c r="F156" s="6" t="s">
        <v>644</v>
      </c>
      <c r="G156" s="7" t="s">
        <v>645</v>
      </c>
      <c r="H156" s="7" t="s">
        <v>646</v>
      </c>
      <c r="I156" s="7" t="s">
        <v>647</v>
      </c>
      <c r="J156" s="8" t="s">
        <v>650</v>
      </c>
      <c r="K156" s="6" t="s">
        <v>651</v>
      </c>
      <c r="L156" s="9" t="s">
        <v>23</v>
      </c>
      <c r="M156" s="2" t="n">
        <v>45112</v>
      </c>
    </row>
    <row r="157" customFormat="false" ht="74.25" hidden="false" customHeight="false" outlineLevel="0" collapsed="false">
      <c r="A157" s="1" t="n">
        <v>2021</v>
      </c>
      <c r="B157" s="1" t="s">
        <v>604</v>
      </c>
      <c r="C157" s="1" t="s">
        <v>605</v>
      </c>
      <c r="D157" s="1" t="s">
        <v>606</v>
      </c>
      <c r="E157" s="5" t="s">
        <v>16</v>
      </c>
      <c r="F157" s="6" t="s">
        <v>652</v>
      </c>
      <c r="G157" s="7" t="s">
        <v>653</v>
      </c>
      <c r="H157" s="7" t="s">
        <v>654</v>
      </c>
      <c r="I157" s="7" t="s">
        <v>655</v>
      </c>
      <c r="J157" s="8" t="s">
        <v>656</v>
      </c>
      <c r="K157" s="6" t="s">
        <v>657</v>
      </c>
      <c r="L157" s="9" t="s">
        <v>23</v>
      </c>
      <c r="M157" s="2" t="n">
        <v>45028</v>
      </c>
    </row>
    <row r="158" customFormat="false" ht="57.75" hidden="false" customHeight="false" outlineLevel="0" collapsed="false">
      <c r="A158" s="1" t="n">
        <v>2021</v>
      </c>
      <c r="B158" s="1" t="s">
        <v>604</v>
      </c>
      <c r="C158" s="1" t="s">
        <v>605</v>
      </c>
      <c r="D158" s="1" t="s">
        <v>606</v>
      </c>
      <c r="E158" s="5" t="s">
        <v>16</v>
      </c>
      <c r="F158" s="6" t="s">
        <v>658</v>
      </c>
      <c r="G158" s="7" t="s">
        <v>659</v>
      </c>
      <c r="H158" s="7" t="s">
        <v>660</v>
      </c>
      <c r="I158" s="7" t="s">
        <v>661</v>
      </c>
      <c r="J158" s="8" t="s">
        <v>662</v>
      </c>
      <c r="K158" s="6" t="s">
        <v>663</v>
      </c>
      <c r="L158" s="9" t="s">
        <v>23</v>
      </c>
      <c r="M158" s="2" t="n">
        <v>45028</v>
      </c>
    </row>
    <row r="159" customFormat="false" ht="57.75" hidden="false" customHeight="false" outlineLevel="0" collapsed="false">
      <c r="A159" s="1" t="n">
        <v>2021</v>
      </c>
      <c r="B159" s="1" t="s">
        <v>604</v>
      </c>
      <c r="C159" s="1" t="s">
        <v>605</v>
      </c>
      <c r="D159" s="1" t="s">
        <v>606</v>
      </c>
      <c r="E159" s="5" t="s">
        <v>16</v>
      </c>
      <c r="F159" s="6" t="s">
        <v>658</v>
      </c>
      <c r="G159" s="7" t="s">
        <v>659</v>
      </c>
      <c r="H159" s="7" t="s">
        <v>660</v>
      </c>
      <c r="I159" s="7" t="s">
        <v>661</v>
      </c>
      <c r="J159" s="8" t="s">
        <v>664</v>
      </c>
      <c r="K159" s="6" t="s">
        <v>665</v>
      </c>
      <c r="L159" s="9" t="s">
        <v>23</v>
      </c>
      <c r="M159" s="2" t="n">
        <v>45028</v>
      </c>
    </row>
    <row r="160" customFormat="false" ht="36" hidden="false" customHeight="false" outlineLevel="0" collapsed="false">
      <c r="A160" s="1" t="n">
        <v>2021</v>
      </c>
      <c r="B160" s="1" t="s">
        <v>604</v>
      </c>
      <c r="C160" s="1" t="s">
        <v>605</v>
      </c>
      <c r="D160" s="1" t="s">
        <v>606</v>
      </c>
      <c r="E160" s="5" t="s">
        <v>16</v>
      </c>
      <c r="F160" s="6" t="s">
        <v>666</v>
      </c>
      <c r="G160" s="7" t="s">
        <v>667</v>
      </c>
      <c r="H160" s="7" t="s">
        <v>668</v>
      </c>
      <c r="I160" s="7" t="s">
        <v>661</v>
      </c>
      <c r="J160" s="8" t="s">
        <v>669</v>
      </c>
      <c r="K160" s="6" t="s">
        <v>670</v>
      </c>
      <c r="L160" s="9" t="s">
        <v>23</v>
      </c>
      <c r="M160" s="2" t="n">
        <v>44938</v>
      </c>
    </row>
    <row r="161" customFormat="false" ht="82.5" hidden="false" customHeight="false" outlineLevel="0" collapsed="false">
      <c r="A161" s="1" t="n">
        <v>2021</v>
      </c>
      <c r="B161" s="1" t="s">
        <v>604</v>
      </c>
      <c r="C161" s="1" t="s">
        <v>605</v>
      </c>
      <c r="D161" s="1" t="s">
        <v>606</v>
      </c>
      <c r="E161" s="5" t="s">
        <v>16</v>
      </c>
      <c r="F161" s="6" t="s">
        <v>671</v>
      </c>
      <c r="G161" s="7" t="s">
        <v>672</v>
      </c>
      <c r="H161" s="7" t="s">
        <v>673</v>
      </c>
      <c r="I161" s="7" t="s">
        <v>661</v>
      </c>
      <c r="J161" s="8" t="s">
        <v>674</v>
      </c>
      <c r="K161" s="6" t="s">
        <v>675</v>
      </c>
      <c r="L161" s="9" t="s">
        <v>23</v>
      </c>
      <c r="M161" s="2" t="n">
        <v>45028</v>
      </c>
    </row>
    <row r="162" customFormat="false" ht="90.75" hidden="false" customHeight="false" outlineLevel="0" collapsed="false">
      <c r="A162" s="1" t="n">
        <v>2021</v>
      </c>
      <c r="B162" s="1" t="s">
        <v>604</v>
      </c>
      <c r="C162" s="1" t="s">
        <v>605</v>
      </c>
      <c r="D162" s="1" t="s">
        <v>606</v>
      </c>
      <c r="E162" s="5" t="s">
        <v>16</v>
      </c>
      <c r="F162" s="6" t="s">
        <v>676</v>
      </c>
      <c r="G162" s="7" t="s">
        <v>677</v>
      </c>
      <c r="H162" s="7" t="s">
        <v>678</v>
      </c>
      <c r="I162" s="7" t="s">
        <v>616</v>
      </c>
      <c r="J162" s="8" t="s">
        <v>679</v>
      </c>
      <c r="K162" s="6" t="s">
        <v>680</v>
      </c>
      <c r="L162" s="9" t="s">
        <v>23</v>
      </c>
      <c r="M162" s="2" t="n">
        <v>45028</v>
      </c>
    </row>
    <row r="163" customFormat="false" ht="74.25" hidden="false" customHeight="false" outlineLevel="0" collapsed="false">
      <c r="A163" s="1" t="n">
        <v>2021</v>
      </c>
      <c r="B163" s="1" t="s">
        <v>604</v>
      </c>
      <c r="C163" s="1" t="s">
        <v>605</v>
      </c>
      <c r="D163" s="1" t="s">
        <v>606</v>
      </c>
      <c r="E163" s="5" t="s">
        <v>16</v>
      </c>
      <c r="F163" s="6" t="s">
        <v>681</v>
      </c>
      <c r="G163" s="7" t="s">
        <v>682</v>
      </c>
      <c r="H163" s="7" t="s">
        <v>683</v>
      </c>
      <c r="I163" s="7" t="s">
        <v>639</v>
      </c>
      <c r="J163" s="8" t="s">
        <v>684</v>
      </c>
      <c r="K163" s="6" t="s">
        <v>685</v>
      </c>
      <c r="L163" s="9" t="s">
        <v>23</v>
      </c>
      <c r="M163" s="2" t="n">
        <v>44938</v>
      </c>
    </row>
    <row r="164" customFormat="false" ht="107.25" hidden="false" customHeight="false" outlineLevel="0" collapsed="false">
      <c r="A164" s="1" t="n">
        <v>2021</v>
      </c>
      <c r="B164" s="1" t="s">
        <v>604</v>
      </c>
      <c r="C164" s="1" t="s">
        <v>605</v>
      </c>
      <c r="D164" s="1" t="s">
        <v>606</v>
      </c>
      <c r="E164" s="5" t="s">
        <v>16</v>
      </c>
      <c r="F164" s="6" t="s">
        <v>686</v>
      </c>
      <c r="G164" s="7" t="s">
        <v>687</v>
      </c>
      <c r="H164" s="7" t="s">
        <v>688</v>
      </c>
      <c r="I164" s="7" t="s">
        <v>639</v>
      </c>
      <c r="J164" s="8" t="s">
        <v>689</v>
      </c>
      <c r="K164" s="6" t="s">
        <v>690</v>
      </c>
      <c r="L164" s="9" t="s">
        <v>23</v>
      </c>
      <c r="M164" s="2" t="n">
        <v>45028</v>
      </c>
    </row>
    <row r="165" customFormat="false" ht="107.25" hidden="false" customHeight="false" outlineLevel="0" collapsed="false">
      <c r="A165" s="1" t="n">
        <v>2021</v>
      </c>
      <c r="B165" s="1" t="s">
        <v>604</v>
      </c>
      <c r="C165" s="1" t="s">
        <v>605</v>
      </c>
      <c r="D165" s="1" t="s">
        <v>606</v>
      </c>
      <c r="E165" s="5" t="s">
        <v>16</v>
      </c>
      <c r="F165" s="6" t="s">
        <v>686</v>
      </c>
      <c r="G165" s="7" t="s">
        <v>687</v>
      </c>
      <c r="H165" s="7" t="s">
        <v>688</v>
      </c>
      <c r="I165" s="7" t="s">
        <v>639</v>
      </c>
      <c r="J165" s="8" t="s">
        <v>691</v>
      </c>
      <c r="K165" s="6" t="s">
        <v>692</v>
      </c>
      <c r="L165" s="9" t="s">
        <v>23</v>
      </c>
      <c r="M165" s="2" t="n">
        <v>45028</v>
      </c>
    </row>
    <row r="166" customFormat="false" ht="82.5" hidden="false" customHeight="false" outlineLevel="0" collapsed="false">
      <c r="A166" s="1" t="n">
        <v>2021</v>
      </c>
      <c r="B166" s="1" t="s">
        <v>604</v>
      </c>
      <c r="C166" s="1" t="s">
        <v>605</v>
      </c>
      <c r="D166" s="1" t="s">
        <v>606</v>
      </c>
      <c r="E166" s="5" t="s">
        <v>16</v>
      </c>
      <c r="F166" s="6" t="s">
        <v>693</v>
      </c>
      <c r="G166" s="7" t="s">
        <v>694</v>
      </c>
      <c r="H166" s="7" t="s">
        <v>695</v>
      </c>
      <c r="I166" s="7" t="s">
        <v>696</v>
      </c>
      <c r="J166" s="8" t="s">
        <v>697</v>
      </c>
      <c r="K166" s="6" t="s">
        <v>698</v>
      </c>
      <c r="L166" s="9" t="s">
        <v>23</v>
      </c>
      <c r="M166" s="2" t="n">
        <v>44938</v>
      </c>
    </row>
    <row r="167" customFormat="false" ht="82.5" hidden="false" customHeight="false" outlineLevel="0" collapsed="false">
      <c r="A167" s="1" t="n">
        <v>2021</v>
      </c>
      <c r="B167" s="1" t="s">
        <v>604</v>
      </c>
      <c r="C167" s="1" t="s">
        <v>605</v>
      </c>
      <c r="D167" s="1" t="s">
        <v>606</v>
      </c>
      <c r="E167" s="5" t="s">
        <v>16</v>
      </c>
      <c r="F167" s="6" t="s">
        <v>693</v>
      </c>
      <c r="G167" s="7" t="s">
        <v>694</v>
      </c>
      <c r="H167" s="7" t="s">
        <v>695</v>
      </c>
      <c r="I167" s="7" t="s">
        <v>696</v>
      </c>
      <c r="J167" s="8" t="s">
        <v>699</v>
      </c>
      <c r="K167" s="6" t="s">
        <v>700</v>
      </c>
      <c r="L167" s="9" t="s">
        <v>23</v>
      </c>
      <c r="M167" s="2" t="n">
        <v>45028</v>
      </c>
    </row>
    <row r="168" customFormat="false" ht="107.25" hidden="false" customHeight="false" outlineLevel="0" collapsed="false">
      <c r="A168" s="1" t="n">
        <v>2021</v>
      </c>
      <c r="B168" s="1" t="s">
        <v>604</v>
      </c>
      <c r="C168" s="1" t="s">
        <v>605</v>
      </c>
      <c r="D168" s="1" t="s">
        <v>606</v>
      </c>
      <c r="E168" s="5" t="s">
        <v>16</v>
      </c>
      <c r="F168" s="6" t="s">
        <v>701</v>
      </c>
      <c r="G168" s="7" t="s">
        <v>702</v>
      </c>
      <c r="H168" s="7" t="s">
        <v>703</v>
      </c>
      <c r="I168" s="7" t="s">
        <v>704</v>
      </c>
      <c r="J168" s="8" t="s">
        <v>705</v>
      </c>
      <c r="K168" s="6" t="s">
        <v>706</v>
      </c>
      <c r="L168" s="9" t="s">
        <v>23</v>
      </c>
      <c r="M168" s="2" t="n">
        <v>45113</v>
      </c>
    </row>
    <row r="169" customFormat="false" ht="82.5" hidden="false" customHeight="false" outlineLevel="0" collapsed="false">
      <c r="A169" s="1" t="n">
        <v>2021</v>
      </c>
      <c r="B169" s="1" t="s">
        <v>604</v>
      </c>
      <c r="C169" s="1" t="s">
        <v>605</v>
      </c>
      <c r="D169" s="1" t="s">
        <v>606</v>
      </c>
      <c r="E169" s="5" t="s">
        <v>16</v>
      </c>
      <c r="F169" s="6" t="s">
        <v>707</v>
      </c>
      <c r="G169" s="7" t="s">
        <v>708</v>
      </c>
      <c r="H169" s="7" t="s">
        <v>709</v>
      </c>
      <c r="I169" s="7" t="s">
        <v>710</v>
      </c>
      <c r="J169" s="8" t="s">
        <v>711</v>
      </c>
      <c r="K169" s="6" t="s">
        <v>712</v>
      </c>
      <c r="L169" s="9" t="s">
        <v>23</v>
      </c>
      <c r="M169" s="2" t="n">
        <v>45028</v>
      </c>
    </row>
    <row r="170" customFormat="false" ht="123.75" hidden="false" customHeight="false" outlineLevel="0" collapsed="false">
      <c r="A170" s="1" t="n">
        <v>2021</v>
      </c>
      <c r="B170" s="1" t="s">
        <v>604</v>
      </c>
      <c r="C170" s="1" t="s">
        <v>605</v>
      </c>
      <c r="D170" s="1" t="s">
        <v>606</v>
      </c>
      <c r="E170" s="5" t="s">
        <v>16</v>
      </c>
      <c r="F170" s="6" t="s">
        <v>713</v>
      </c>
      <c r="G170" s="7" t="s">
        <v>714</v>
      </c>
      <c r="H170" s="7" t="s">
        <v>715</v>
      </c>
      <c r="I170" s="7" t="s">
        <v>716</v>
      </c>
      <c r="J170" s="8" t="s">
        <v>717</v>
      </c>
      <c r="K170" s="6" t="s">
        <v>718</v>
      </c>
      <c r="L170" s="9" t="s">
        <v>23</v>
      </c>
      <c r="M170" s="2" t="n">
        <v>45113</v>
      </c>
    </row>
    <row r="171" customFormat="false" ht="49.5" hidden="false" customHeight="false" outlineLevel="0" collapsed="false">
      <c r="A171" s="1" t="n">
        <v>2021</v>
      </c>
      <c r="B171" s="1" t="s">
        <v>604</v>
      </c>
      <c r="C171" s="1" t="s">
        <v>605</v>
      </c>
      <c r="D171" s="1" t="s">
        <v>606</v>
      </c>
      <c r="E171" s="5" t="s">
        <v>16</v>
      </c>
      <c r="F171" s="6" t="s">
        <v>719</v>
      </c>
      <c r="G171" s="7" t="s">
        <v>720</v>
      </c>
      <c r="H171" s="7" t="s">
        <v>638</v>
      </c>
      <c r="I171" s="7" t="s">
        <v>610</v>
      </c>
      <c r="J171" s="8" t="s">
        <v>721</v>
      </c>
      <c r="K171" s="6" t="s">
        <v>722</v>
      </c>
      <c r="L171" s="9" t="s">
        <v>23</v>
      </c>
      <c r="M171" s="2" t="n">
        <v>45028</v>
      </c>
    </row>
    <row r="172" customFormat="false" ht="49.5" hidden="false" customHeight="false" outlineLevel="0" collapsed="false">
      <c r="A172" s="1" t="n">
        <v>2021</v>
      </c>
      <c r="B172" s="1" t="s">
        <v>604</v>
      </c>
      <c r="C172" s="1" t="s">
        <v>605</v>
      </c>
      <c r="D172" s="1" t="s">
        <v>606</v>
      </c>
      <c r="E172" s="5" t="s">
        <v>16</v>
      </c>
      <c r="F172" s="6" t="s">
        <v>719</v>
      </c>
      <c r="G172" s="7" t="s">
        <v>720</v>
      </c>
      <c r="H172" s="7" t="s">
        <v>638</v>
      </c>
      <c r="I172" s="7" t="s">
        <v>610</v>
      </c>
      <c r="J172" s="8" t="s">
        <v>723</v>
      </c>
      <c r="K172" s="6" t="s">
        <v>724</v>
      </c>
      <c r="L172" s="9" t="s">
        <v>23</v>
      </c>
      <c r="M172" s="2" t="n">
        <v>44938</v>
      </c>
    </row>
    <row r="173" customFormat="false" ht="66" hidden="false" customHeight="false" outlineLevel="0" collapsed="false">
      <c r="A173" s="1" t="n">
        <v>2021</v>
      </c>
      <c r="B173" s="1" t="s">
        <v>604</v>
      </c>
      <c r="C173" s="1" t="s">
        <v>605</v>
      </c>
      <c r="D173" s="1" t="s">
        <v>606</v>
      </c>
      <c r="E173" s="5" t="s">
        <v>16</v>
      </c>
      <c r="F173" s="6" t="s">
        <v>725</v>
      </c>
      <c r="G173" s="7" t="s">
        <v>726</v>
      </c>
      <c r="H173" s="7" t="s">
        <v>727</v>
      </c>
      <c r="I173" s="7" t="s">
        <v>728</v>
      </c>
      <c r="J173" s="8" t="s">
        <v>729</v>
      </c>
      <c r="K173" s="6" t="s">
        <v>730</v>
      </c>
      <c r="L173" s="9" t="s">
        <v>23</v>
      </c>
      <c r="M173" s="2" t="n">
        <v>44938</v>
      </c>
    </row>
    <row r="174" customFormat="false" ht="66" hidden="false" customHeight="false" outlineLevel="0" collapsed="false">
      <c r="A174" s="1" t="n">
        <v>2021</v>
      </c>
      <c r="B174" s="1" t="s">
        <v>604</v>
      </c>
      <c r="C174" s="1" t="s">
        <v>605</v>
      </c>
      <c r="D174" s="1" t="s">
        <v>606</v>
      </c>
      <c r="E174" s="5" t="s">
        <v>16</v>
      </c>
      <c r="F174" s="6" t="s">
        <v>725</v>
      </c>
      <c r="G174" s="7" t="s">
        <v>726</v>
      </c>
      <c r="H174" s="7" t="s">
        <v>727</v>
      </c>
      <c r="I174" s="7" t="s">
        <v>728</v>
      </c>
      <c r="J174" s="8" t="s">
        <v>731</v>
      </c>
      <c r="K174" s="6" t="s">
        <v>732</v>
      </c>
      <c r="L174" s="9" t="s">
        <v>23</v>
      </c>
      <c r="M174" s="2" t="n">
        <v>45028</v>
      </c>
    </row>
    <row r="175" customFormat="false" ht="57.75" hidden="false" customHeight="false" outlineLevel="0" collapsed="false">
      <c r="A175" s="1" t="n">
        <v>2021</v>
      </c>
      <c r="B175" s="1" t="s">
        <v>604</v>
      </c>
      <c r="C175" s="1" t="s">
        <v>605</v>
      </c>
      <c r="D175" s="1" t="s">
        <v>606</v>
      </c>
      <c r="E175" s="5" t="s">
        <v>16</v>
      </c>
      <c r="F175" s="6" t="s">
        <v>733</v>
      </c>
      <c r="G175" s="7" t="s">
        <v>734</v>
      </c>
      <c r="H175" s="7" t="s">
        <v>735</v>
      </c>
      <c r="I175" s="7" t="s">
        <v>736</v>
      </c>
      <c r="J175" s="8" t="s">
        <v>737</v>
      </c>
      <c r="K175" s="6" t="s">
        <v>738</v>
      </c>
      <c r="L175" s="9" t="s">
        <v>23</v>
      </c>
      <c r="M175" s="2" t="n">
        <v>44938</v>
      </c>
    </row>
    <row r="176" customFormat="false" ht="57.75" hidden="false" customHeight="false" outlineLevel="0" collapsed="false">
      <c r="A176" s="1" t="n">
        <v>2021</v>
      </c>
      <c r="B176" s="1" t="s">
        <v>604</v>
      </c>
      <c r="C176" s="1" t="s">
        <v>605</v>
      </c>
      <c r="D176" s="1" t="s">
        <v>606</v>
      </c>
      <c r="E176" s="5" t="s">
        <v>16</v>
      </c>
      <c r="F176" s="6" t="s">
        <v>733</v>
      </c>
      <c r="G176" s="7" t="s">
        <v>734</v>
      </c>
      <c r="H176" s="7" t="s">
        <v>735</v>
      </c>
      <c r="I176" s="7" t="s">
        <v>736</v>
      </c>
      <c r="J176" s="8" t="s">
        <v>739</v>
      </c>
      <c r="K176" s="6" t="s">
        <v>740</v>
      </c>
      <c r="L176" s="9" t="s">
        <v>23</v>
      </c>
      <c r="M176" s="2" t="n">
        <v>45028</v>
      </c>
    </row>
    <row r="177" customFormat="false" ht="33" hidden="false" customHeight="false" outlineLevel="0" collapsed="false">
      <c r="A177" s="1" t="n">
        <v>2021</v>
      </c>
      <c r="B177" s="1" t="s">
        <v>604</v>
      </c>
      <c r="C177" s="1" t="s">
        <v>605</v>
      </c>
      <c r="D177" s="1" t="s">
        <v>606</v>
      </c>
      <c r="E177" s="5" t="s">
        <v>16</v>
      </c>
      <c r="F177" s="6" t="s">
        <v>741</v>
      </c>
      <c r="G177" s="7" t="s">
        <v>742</v>
      </c>
      <c r="H177" s="7" t="s">
        <v>743</v>
      </c>
      <c r="I177" s="7" t="s">
        <v>639</v>
      </c>
      <c r="J177" s="8" t="s">
        <v>744</v>
      </c>
      <c r="K177" s="6" t="s">
        <v>745</v>
      </c>
      <c r="L177" s="9" t="s">
        <v>23</v>
      </c>
      <c r="M177" s="2" t="n">
        <v>44938</v>
      </c>
    </row>
    <row r="178" customFormat="false" ht="33" hidden="false" customHeight="false" outlineLevel="0" collapsed="false">
      <c r="A178" s="1" t="n">
        <v>2021</v>
      </c>
      <c r="B178" s="1" t="s">
        <v>604</v>
      </c>
      <c r="C178" s="1" t="s">
        <v>605</v>
      </c>
      <c r="D178" s="1" t="s">
        <v>606</v>
      </c>
      <c r="E178" s="5" t="s">
        <v>16</v>
      </c>
      <c r="F178" s="6" t="s">
        <v>741</v>
      </c>
      <c r="G178" s="7" t="s">
        <v>742</v>
      </c>
      <c r="H178" s="7" t="s">
        <v>743</v>
      </c>
      <c r="I178" s="7" t="s">
        <v>639</v>
      </c>
      <c r="J178" s="8" t="s">
        <v>746</v>
      </c>
      <c r="K178" s="6" t="s">
        <v>747</v>
      </c>
      <c r="L178" s="9" t="s">
        <v>23</v>
      </c>
      <c r="M178" s="2" t="n">
        <v>45028</v>
      </c>
    </row>
    <row r="179" customFormat="false" ht="41.25" hidden="false" customHeight="false" outlineLevel="0" collapsed="false">
      <c r="A179" s="1" t="n">
        <v>2021</v>
      </c>
      <c r="B179" s="1" t="s">
        <v>748</v>
      </c>
      <c r="C179" s="1" t="s">
        <v>749</v>
      </c>
      <c r="D179" s="1" t="s">
        <v>498</v>
      </c>
      <c r="E179" s="5" t="s">
        <v>16</v>
      </c>
      <c r="F179" s="6" t="s">
        <v>750</v>
      </c>
      <c r="G179" s="7" t="s">
        <v>751</v>
      </c>
      <c r="H179" s="7" t="s">
        <v>752</v>
      </c>
      <c r="I179" s="7" t="s">
        <v>753</v>
      </c>
      <c r="J179" s="8" t="s">
        <v>754</v>
      </c>
      <c r="K179" s="6" t="s">
        <v>755</v>
      </c>
      <c r="L179" s="9" t="s">
        <v>23</v>
      </c>
      <c r="M179" s="2" t="n">
        <v>44841</v>
      </c>
    </row>
    <row r="180" customFormat="false" ht="24.75" hidden="false" customHeight="false" outlineLevel="0" collapsed="false">
      <c r="A180" s="1" t="n">
        <v>2021</v>
      </c>
      <c r="B180" s="1" t="s">
        <v>748</v>
      </c>
      <c r="C180" s="1" t="s">
        <v>749</v>
      </c>
      <c r="D180" s="1" t="s">
        <v>498</v>
      </c>
      <c r="E180" s="5" t="s">
        <v>16</v>
      </c>
      <c r="F180" s="6" t="s">
        <v>756</v>
      </c>
      <c r="G180" s="7" t="s">
        <v>757</v>
      </c>
      <c r="H180" s="7" t="s">
        <v>758</v>
      </c>
      <c r="I180" s="7" t="s">
        <v>759</v>
      </c>
      <c r="J180" s="8" t="s">
        <v>760</v>
      </c>
      <c r="K180" s="6" t="s">
        <v>761</v>
      </c>
      <c r="L180" s="9" t="s">
        <v>23</v>
      </c>
      <c r="M180" s="2" t="n">
        <v>44841</v>
      </c>
    </row>
    <row r="181" customFormat="false" ht="99" hidden="false" customHeight="false" outlineLevel="0" collapsed="false">
      <c r="A181" s="1" t="n">
        <v>2021</v>
      </c>
      <c r="B181" s="1" t="s">
        <v>748</v>
      </c>
      <c r="C181" s="1" t="s">
        <v>749</v>
      </c>
      <c r="D181" s="1" t="s">
        <v>498</v>
      </c>
      <c r="E181" s="5" t="s">
        <v>16</v>
      </c>
      <c r="F181" s="6" t="s">
        <v>762</v>
      </c>
      <c r="G181" s="7" t="s">
        <v>763</v>
      </c>
      <c r="H181" s="7" t="s">
        <v>764</v>
      </c>
      <c r="I181" s="7" t="s">
        <v>759</v>
      </c>
      <c r="J181" s="8" t="s">
        <v>765</v>
      </c>
      <c r="K181" s="6" t="s">
        <v>766</v>
      </c>
      <c r="L181" s="9" t="s">
        <v>23</v>
      </c>
      <c r="M181" s="2" t="n">
        <v>44841</v>
      </c>
    </row>
    <row r="182" customFormat="false" ht="41.25" hidden="false" customHeight="false" outlineLevel="0" collapsed="false">
      <c r="A182" s="1" t="n">
        <v>2021</v>
      </c>
      <c r="B182" s="1" t="s">
        <v>748</v>
      </c>
      <c r="C182" s="1" t="s">
        <v>749</v>
      </c>
      <c r="D182" s="1" t="s">
        <v>498</v>
      </c>
      <c r="E182" s="5" t="s">
        <v>16</v>
      </c>
      <c r="F182" s="6" t="s">
        <v>767</v>
      </c>
      <c r="G182" s="7" t="s">
        <v>768</v>
      </c>
      <c r="H182" s="7" t="s">
        <v>764</v>
      </c>
      <c r="I182" s="7" t="s">
        <v>759</v>
      </c>
      <c r="J182" s="8" t="s">
        <v>769</v>
      </c>
      <c r="K182" s="6" t="s">
        <v>770</v>
      </c>
      <c r="L182" s="9" t="s">
        <v>23</v>
      </c>
      <c r="M182" s="2" t="n">
        <v>44841</v>
      </c>
    </row>
    <row r="183" customFormat="false" ht="27" hidden="false" customHeight="false" outlineLevel="0" collapsed="false">
      <c r="A183" s="1" t="n">
        <v>2021</v>
      </c>
      <c r="B183" s="1" t="s">
        <v>748</v>
      </c>
      <c r="C183" s="1" t="s">
        <v>749</v>
      </c>
      <c r="D183" s="1" t="s">
        <v>498</v>
      </c>
      <c r="E183" s="5" t="s">
        <v>16</v>
      </c>
      <c r="F183" s="6" t="s">
        <v>771</v>
      </c>
      <c r="G183" s="7" t="s">
        <v>772</v>
      </c>
      <c r="H183" s="7" t="s">
        <v>752</v>
      </c>
      <c r="I183" s="7" t="s">
        <v>759</v>
      </c>
      <c r="J183" s="8" t="s">
        <v>773</v>
      </c>
      <c r="K183" s="6" t="s">
        <v>774</v>
      </c>
      <c r="L183" s="9" t="s">
        <v>23</v>
      </c>
      <c r="M183" s="2" t="n">
        <v>44841</v>
      </c>
    </row>
    <row r="184" customFormat="false" ht="41.25" hidden="false" customHeight="false" outlineLevel="0" collapsed="false">
      <c r="A184" s="1" t="n">
        <v>2021</v>
      </c>
      <c r="B184" s="1" t="s">
        <v>748</v>
      </c>
      <c r="C184" s="1" t="s">
        <v>749</v>
      </c>
      <c r="D184" s="1" t="s">
        <v>498</v>
      </c>
      <c r="E184" s="5" t="s">
        <v>16</v>
      </c>
      <c r="F184" s="6" t="s">
        <v>775</v>
      </c>
      <c r="G184" s="7" t="s">
        <v>776</v>
      </c>
      <c r="H184" s="7" t="s">
        <v>752</v>
      </c>
      <c r="I184" s="7" t="s">
        <v>759</v>
      </c>
      <c r="J184" s="8" t="s">
        <v>777</v>
      </c>
      <c r="K184" s="6" t="s">
        <v>778</v>
      </c>
      <c r="L184" s="9" t="s">
        <v>23</v>
      </c>
      <c r="M184" s="2" t="n">
        <v>44841</v>
      </c>
    </row>
    <row r="185" customFormat="false" ht="41.25" hidden="false" customHeight="false" outlineLevel="0" collapsed="false">
      <c r="A185" s="1" t="n">
        <v>2021</v>
      </c>
      <c r="B185" s="1" t="s">
        <v>748</v>
      </c>
      <c r="C185" s="1" t="s">
        <v>749</v>
      </c>
      <c r="D185" s="1" t="s">
        <v>498</v>
      </c>
      <c r="E185" s="5" t="s">
        <v>16</v>
      </c>
      <c r="F185" s="6" t="s">
        <v>779</v>
      </c>
      <c r="G185" s="7" t="s">
        <v>780</v>
      </c>
      <c r="H185" s="7" t="s">
        <v>781</v>
      </c>
      <c r="I185" s="7" t="s">
        <v>759</v>
      </c>
      <c r="J185" s="8" t="s">
        <v>782</v>
      </c>
      <c r="K185" s="6" t="s">
        <v>783</v>
      </c>
      <c r="L185" s="9" t="s">
        <v>23</v>
      </c>
      <c r="M185" s="2" t="n">
        <v>45029</v>
      </c>
    </row>
    <row r="186" customFormat="false" ht="41.25" hidden="false" customHeight="false" outlineLevel="0" collapsed="false">
      <c r="A186" s="1" t="n">
        <v>2021</v>
      </c>
      <c r="B186" s="1" t="s">
        <v>748</v>
      </c>
      <c r="C186" s="1" t="s">
        <v>749</v>
      </c>
      <c r="D186" s="1" t="s">
        <v>498</v>
      </c>
      <c r="E186" s="5" t="s">
        <v>16</v>
      </c>
      <c r="F186" s="6" t="s">
        <v>779</v>
      </c>
      <c r="G186" s="7" t="s">
        <v>780</v>
      </c>
      <c r="H186" s="7" t="s">
        <v>781</v>
      </c>
      <c r="I186" s="7" t="s">
        <v>759</v>
      </c>
      <c r="J186" s="8" t="s">
        <v>784</v>
      </c>
      <c r="K186" s="6" t="s">
        <v>785</v>
      </c>
      <c r="L186" s="9" t="s">
        <v>23</v>
      </c>
      <c r="M186" s="2" t="n">
        <v>45119</v>
      </c>
    </row>
    <row r="187" customFormat="false" ht="33" hidden="false" customHeight="false" outlineLevel="0" collapsed="false">
      <c r="A187" s="1" t="n">
        <v>2021</v>
      </c>
      <c r="B187" s="1" t="s">
        <v>748</v>
      </c>
      <c r="C187" s="1" t="s">
        <v>749</v>
      </c>
      <c r="D187" s="1" t="s">
        <v>498</v>
      </c>
      <c r="E187" s="5" t="s">
        <v>16</v>
      </c>
      <c r="F187" s="6" t="s">
        <v>786</v>
      </c>
      <c r="G187" s="7" t="s">
        <v>787</v>
      </c>
      <c r="H187" s="7" t="s">
        <v>788</v>
      </c>
      <c r="I187" s="7" t="s">
        <v>789</v>
      </c>
      <c r="J187" s="8" t="s">
        <v>790</v>
      </c>
      <c r="K187" s="6" t="s">
        <v>791</v>
      </c>
      <c r="L187" s="9" t="s">
        <v>23</v>
      </c>
      <c r="M187" s="2" t="n">
        <v>44946</v>
      </c>
    </row>
    <row r="188" customFormat="false" ht="41.25" hidden="false" customHeight="false" outlineLevel="0" collapsed="false">
      <c r="A188" s="1" t="n">
        <v>2021</v>
      </c>
      <c r="B188" s="1" t="s">
        <v>748</v>
      </c>
      <c r="C188" s="1" t="s">
        <v>749</v>
      </c>
      <c r="D188" s="1" t="s">
        <v>498</v>
      </c>
      <c r="E188" s="5" t="s">
        <v>16</v>
      </c>
      <c r="F188" s="6" t="s">
        <v>792</v>
      </c>
      <c r="G188" s="7" t="s">
        <v>793</v>
      </c>
      <c r="H188" s="7" t="s">
        <v>794</v>
      </c>
      <c r="I188" s="7" t="s">
        <v>789</v>
      </c>
      <c r="J188" s="8" t="s">
        <v>795</v>
      </c>
      <c r="K188" s="6" t="s">
        <v>796</v>
      </c>
      <c r="L188" s="9" t="s">
        <v>23</v>
      </c>
      <c r="M188" s="2" t="n">
        <v>44946</v>
      </c>
    </row>
    <row r="189" customFormat="false" ht="27" hidden="false" customHeight="false" outlineLevel="0" collapsed="false">
      <c r="A189" s="1" t="n">
        <v>2021</v>
      </c>
      <c r="B189" s="1" t="s">
        <v>748</v>
      </c>
      <c r="C189" s="1" t="s">
        <v>749</v>
      </c>
      <c r="D189" s="1" t="s">
        <v>498</v>
      </c>
      <c r="E189" s="5" t="s">
        <v>16</v>
      </c>
      <c r="F189" s="6" t="s">
        <v>797</v>
      </c>
      <c r="G189" s="7" t="s">
        <v>798</v>
      </c>
      <c r="H189" s="7" t="s">
        <v>799</v>
      </c>
      <c r="I189" s="7" t="s">
        <v>789</v>
      </c>
      <c r="J189" s="8" t="s">
        <v>800</v>
      </c>
      <c r="K189" s="6" t="s">
        <v>801</v>
      </c>
      <c r="L189" s="9" t="s">
        <v>23</v>
      </c>
      <c r="M189" s="2" t="n">
        <v>45029</v>
      </c>
    </row>
    <row r="190" customFormat="false" ht="49.5" hidden="false" customHeight="false" outlineLevel="0" collapsed="false">
      <c r="A190" s="1" t="n">
        <v>2021</v>
      </c>
      <c r="B190" s="1" t="s">
        <v>748</v>
      </c>
      <c r="C190" s="1" t="s">
        <v>749</v>
      </c>
      <c r="D190" s="1" t="s">
        <v>498</v>
      </c>
      <c r="E190" s="5" t="s">
        <v>16</v>
      </c>
      <c r="F190" s="6" t="s">
        <v>802</v>
      </c>
      <c r="G190" s="7" t="s">
        <v>803</v>
      </c>
      <c r="H190" s="7" t="s">
        <v>804</v>
      </c>
      <c r="I190" s="7" t="s">
        <v>789</v>
      </c>
      <c r="J190" s="8" t="s">
        <v>805</v>
      </c>
      <c r="K190" s="6" t="s">
        <v>806</v>
      </c>
      <c r="L190" s="9" t="s">
        <v>23</v>
      </c>
      <c r="M190" s="2" t="n">
        <v>44750</v>
      </c>
    </row>
    <row r="191" customFormat="false" ht="49.5" hidden="false" customHeight="false" outlineLevel="0" collapsed="false">
      <c r="A191" s="1" t="n">
        <v>2021</v>
      </c>
      <c r="B191" s="1" t="s">
        <v>748</v>
      </c>
      <c r="C191" s="1" t="s">
        <v>749</v>
      </c>
      <c r="D191" s="1" t="s">
        <v>498</v>
      </c>
      <c r="E191" s="5" t="s">
        <v>16</v>
      </c>
      <c r="F191" s="6" t="s">
        <v>802</v>
      </c>
      <c r="G191" s="7" t="s">
        <v>803</v>
      </c>
      <c r="H191" s="7" t="s">
        <v>804</v>
      </c>
      <c r="I191" s="7" t="s">
        <v>789</v>
      </c>
      <c r="J191" s="8" t="s">
        <v>807</v>
      </c>
      <c r="K191" s="6" t="s">
        <v>808</v>
      </c>
      <c r="L191" s="9" t="s">
        <v>23</v>
      </c>
      <c r="M191" s="2" t="n">
        <v>44750</v>
      </c>
    </row>
    <row r="192" customFormat="false" ht="33" hidden="false" customHeight="false" outlineLevel="0" collapsed="false">
      <c r="A192" s="1" t="n">
        <v>2021</v>
      </c>
      <c r="B192" s="1" t="s">
        <v>748</v>
      </c>
      <c r="C192" s="1" t="s">
        <v>749</v>
      </c>
      <c r="D192" s="1" t="s">
        <v>498</v>
      </c>
      <c r="E192" s="5" t="s">
        <v>16</v>
      </c>
      <c r="F192" s="6" t="s">
        <v>809</v>
      </c>
      <c r="G192" s="7" t="s">
        <v>810</v>
      </c>
      <c r="H192" s="7" t="s">
        <v>811</v>
      </c>
      <c r="I192" s="7" t="s">
        <v>789</v>
      </c>
      <c r="J192" s="8" t="s">
        <v>812</v>
      </c>
      <c r="K192" s="6" t="s">
        <v>813</v>
      </c>
      <c r="L192" s="9" t="s">
        <v>23</v>
      </c>
      <c r="M192" s="2" t="n">
        <v>44841</v>
      </c>
    </row>
    <row r="193" customFormat="false" ht="33" hidden="false" customHeight="false" outlineLevel="0" collapsed="false">
      <c r="A193" s="1" t="n">
        <v>2022</v>
      </c>
      <c r="B193" s="1" t="s">
        <v>814</v>
      </c>
      <c r="C193" s="1" t="s">
        <v>815</v>
      </c>
      <c r="D193" s="1" t="s">
        <v>554</v>
      </c>
      <c r="E193" s="5" t="s">
        <v>16</v>
      </c>
      <c r="F193" s="8" t="s">
        <v>816</v>
      </c>
      <c r="G193" s="7" t="s">
        <v>817</v>
      </c>
      <c r="H193" s="7" t="s">
        <v>818</v>
      </c>
      <c r="I193" s="7" t="s">
        <v>819</v>
      </c>
      <c r="J193" s="8" t="s">
        <v>820</v>
      </c>
      <c r="K193" s="6" t="s">
        <v>821</v>
      </c>
      <c r="L193" s="9" t="s">
        <v>23</v>
      </c>
      <c r="M193" s="2" t="n">
        <v>45114</v>
      </c>
    </row>
    <row r="194" customFormat="false" ht="66" hidden="false" customHeight="false" outlineLevel="0" collapsed="false">
      <c r="A194" s="1" t="n">
        <v>2022</v>
      </c>
      <c r="B194" s="1" t="s">
        <v>814</v>
      </c>
      <c r="C194" s="1" t="s">
        <v>815</v>
      </c>
      <c r="D194" s="1" t="s">
        <v>554</v>
      </c>
      <c r="E194" s="5" t="s">
        <v>16</v>
      </c>
      <c r="F194" s="8" t="s">
        <v>822</v>
      </c>
      <c r="G194" s="7" t="s">
        <v>823</v>
      </c>
      <c r="H194" s="7" t="s">
        <v>824</v>
      </c>
      <c r="I194" s="7" t="s">
        <v>819</v>
      </c>
      <c r="J194" s="8" t="s">
        <v>825</v>
      </c>
      <c r="K194" s="6" t="s">
        <v>826</v>
      </c>
      <c r="L194" s="9" t="s">
        <v>827</v>
      </c>
    </row>
    <row r="195" customFormat="false" ht="33" hidden="false" customHeight="false" outlineLevel="0" collapsed="false">
      <c r="A195" s="1" t="n">
        <v>2022</v>
      </c>
      <c r="B195" s="1" t="s">
        <v>814</v>
      </c>
      <c r="C195" s="1" t="s">
        <v>815</v>
      </c>
      <c r="D195" s="1" t="s">
        <v>554</v>
      </c>
      <c r="E195" s="5" t="s">
        <v>16</v>
      </c>
      <c r="F195" s="8" t="s">
        <v>828</v>
      </c>
      <c r="G195" s="7" t="s">
        <v>829</v>
      </c>
      <c r="H195" s="7" t="s">
        <v>830</v>
      </c>
      <c r="I195" s="7" t="s">
        <v>819</v>
      </c>
      <c r="J195" s="8" t="s">
        <v>831</v>
      </c>
      <c r="K195" s="6" t="s">
        <v>832</v>
      </c>
      <c r="L195" s="9" t="s">
        <v>23</v>
      </c>
      <c r="M195" s="2" t="n">
        <v>45033</v>
      </c>
    </row>
    <row r="196" customFormat="false" ht="49.5" hidden="false" customHeight="false" outlineLevel="0" collapsed="false">
      <c r="A196" s="1" t="n">
        <v>2022</v>
      </c>
      <c r="B196" s="1" t="s">
        <v>833</v>
      </c>
      <c r="C196" s="1" t="s">
        <v>834</v>
      </c>
      <c r="D196" s="1" t="s">
        <v>835</v>
      </c>
      <c r="E196" s="5" t="s">
        <v>16</v>
      </c>
      <c r="F196" s="8" t="s">
        <v>836</v>
      </c>
      <c r="G196" s="7" t="s">
        <v>837</v>
      </c>
      <c r="H196" s="7" t="s">
        <v>838</v>
      </c>
      <c r="I196" s="7" t="s">
        <v>839</v>
      </c>
      <c r="J196" s="8" t="s">
        <v>840</v>
      </c>
      <c r="K196" s="6" t="s">
        <v>841</v>
      </c>
      <c r="L196" s="9" t="s">
        <v>23</v>
      </c>
      <c r="M196" s="2" t="n">
        <v>44931</v>
      </c>
    </row>
    <row r="197" customFormat="false" ht="49.5" hidden="false" customHeight="false" outlineLevel="0" collapsed="false">
      <c r="A197" s="1" t="n">
        <v>2022</v>
      </c>
      <c r="B197" s="1" t="s">
        <v>833</v>
      </c>
      <c r="C197" s="1" t="s">
        <v>834</v>
      </c>
      <c r="D197" s="1" t="s">
        <v>835</v>
      </c>
      <c r="E197" s="5" t="s">
        <v>16</v>
      </c>
      <c r="F197" s="8" t="s">
        <v>836</v>
      </c>
      <c r="G197" s="7" t="s">
        <v>837</v>
      </c>
      <c r="H197" s="7" t="s">
        <v>838</v>
      </c>
      <c r="I197" s="7" t="s">
        <v>842</v>
      </c>
      <c r="J197" s="8" t="s">
        <v>843</v>
      </c>
      <c r="K197" s="6" t="s">
        <v>844</v>
      </c>
      <c r="L197" s="9" t="s">
        <v>23</v>
      </c>
      <c r="M197" s="2" t="n">
        <v>44931</v>
      </c>
    </row>
    <row r="198" customFormat="false" ht="49.5" hidden="false" customHeight="false" outlineLevel="0" collapsed="false">
      <c r="A198" s="1" t="n">
        <v>2022</v>
      </c>
      <c r="B198" s="1" t="s">
        <v>833</v>
      </c>
      <c r="C198" s="1" t="s">
        <v>834</v>
      </c>
      <c r="D198" s="1" t="s">
        <v>835</v>
      </c>
      <c r="E198" s="5" t="s">
        <v>16</v>
      </c>
      <c r="F198" s="8" t="s">
        <v>836</v>
      </c>
      <c r="G198" s="7" t="s">
        <v>837</v>
      </c>
      <c r="H198" s="7" t="s">
        <v>838</v>
      </c>
      <c r="I198" s="7" t="s">
        <v>845</v>
      </c>
      <c r="J198" s="8" t="s">
        <v>846</v>
      </c>
      <c r="K198" s="6" t="s">
        <v>847</v>
      </c>
      <c r="L198" s="9" t="s">
        <v>23</v>
      </c>
      <c r="M198" s="2" t="n">
        <v>44931</v>
      </c>
    </row>
    <row r="199" customFormat="false" ht="49.5" hidden="false" customHeight="false" outlineLevel="0" collapsed="false">
      <c r="A199" s="1" t="n">
        <v>2022</v>
      </c>
      <c r="B199" s="1" t="s">
        <v>833</v>
      </c>
      <c r="C199" s="1" t="s">
        <v>834</v>
      </c>
      <c r="D199" s="1" t="s">
        <v>835</v>
      </c>
      <c r="E199" s="5" t="s">
        <v>16</v>
      </c>
      <c r="F199" s="8" t="s">
        <v>836</v>
      </c>
      <c r="G199" s="7" t="s">
        <v>837</v>
      </c>
      <c r="H199" s="7" t="s">
        <v>838</v>
      </c>
      <c r="I199" s="7" t="s">
        <v>848</v>
      </c>
      <c r="J199" s="8" t="s">
        <v>849</v>
      </c>
      <c r="K199" s="6" t="s">
        <v>850</v>
      </c>
      <c r="L199" s="9" t="s">
        <v>23</v>
      </c>
      <c r="M199" s="2" t="n">
        <v>44931</v>
      </c>
    </row>
    <row r="200" customFormat="false" ht="49.5" hidden="false" customHeight="false" outlineLevel="0" collapsed="false">
      <c r="A200" s="1" t="n">
        <v>2022</v>
      </c>
      <c r="B200" s="1" t="s">
        <v>833</v>
      </c>
      <c r="C200" s="1" t="s">
        <v>834</v>
      </c>
      <c r="D200" s="1" t="s">
        <v>835</v>
      </c>
      <c r="E200" s="5" t="s">
        <v>16</v>
      </c>
      <c r="F200" s="8" t="s">
        <v>836</v>
      </c>
      <c r="G200" s="7" t="s">
        <v>837</v>
      </c>
      <c r="H200" s="7" t="s">
        <v>838</v>
      </c>
      <c r="I200" s="7" t="s">
        <v>851</v>
      </c>
      <c r="J200" s="8" t="s">
        <v>852</v>
      </c>
      <c r="K200" s="6" t="s">
        <v>853</v>
      </c>
      <c r="L200" s="9" t="s">
        <v>23</v>
      </c>
      <c r="M200" s="2" t="n">
        <v>44931</v>
      </c>
    </row>
    <row r="201" customFormat="false" ht="57.75" hidden="false" customHeight="false" outlineLevel="0" collapsed="false">
      <c r="A201" s="1" t="n">
        <v>2022</v>
      </c>
      <c r="B201" s="1" t="s">
        <v>833</v>
      </c>
      <c r="C201" s="1" t="s">
        <v>834</v>
      </c>
      <c r="D201" s="1" t="s">
        <v>835</v>
      </c>
      <c r="E201" s="5" t="s">
        <v>16</v>
      </c>
      <c r="F201" s="8" t="s">
        <v>854</v>
      </c>
      <c r="G201" s="7" t="s">
        <v>855</v>
      </c>
      <c r="H201" s="7" t="s">
        <v>856</v>
      </c>
      <c r="I201" s="7" t="s">
        <v>857</v>
      </c>
      <c r="J201" s="8" t="s">
        <v>858</v>
      </c>
      <c r="K201" s="6" t="s">
        <v>859</v>
      </c>
      <c r="L201" s="9" t="s">
        <v>23</v>
      </c>
      <c r="M201" s="2" t="n">
        <v>44931</v>
      </c>
    </row>
    <row r="202" customFormat="false" ht="74.25" hidden="false" customHeight="false" outlineLevel="0" collapsed="false">
      <c r="A202" s="1" t="n">
        <v>2022</v>
      </c>
      <c r="B202" s="1" t="s">
        <v>833</v>
      </c>
      <c r="C202" s="1" t="s">
        <v>834</v>
      </c>
      <c r="D202" s="1" t="s">
        <v>835</v>
      </c>
      <c r="E202" s="5" t="s">
        <v>16</v>
      </c>
      <c r="F202" s="8" t="s">
        <v>860</v>
      </c>
      <c r="G202" s="7" t="s">
        <v>861</v>
      </c>
      <c r="H202" s="7" t="s">
        <v>862</v>
      </c>
      <c r="I202" s="7" t="s">
        <v>863</v>
      </c>
      <c r="J202" s="8" t="s">
        <v>864</v>
      </c>
      <c r="K202" s="6" t="s">
        <v>865</v>
      </c>
      <c r="L202" s="9" t="s">
        <v>23</v>
      </c>
      <c r="M202" s="2" t="n">
        <v>45111</v>
      </c>
    </row>
    <row r="203" customFormat="false" ht="74.25" hidden="false" customHeight="false" outlineLevel="0" collapsed="false">
      <c r="A203" s="1" t="n">
        <v>2022</v>
      </c>
      <c r="B203" s="1" t="s">
        <v>833</v>
      </c>
      <c r="C203" s="1" t="s">
        <v>834</v>
      </c>
      <c r="D203" s="1" t="s">
        <v>835</v>
      </c>
      <c r="E203" s="5" t="s">
        <v>16</v>
      </c>
      <c r="F203" s="8" t="s">
        <v>860</v>
      </c>
      <c r="G203" s="7" t="s">
        <v>861</v>
      </c>
      <c r="H203" s="7" t="s">
        <v>862</v>
      </c>
      <c r="I203" s="7" t="s">
        <v>866</v>
      </c>
      <c r="J203" s="8" t="s">
        <v>867</v>
      </c>
      <c r="K203" s="6" t="s">
        <v>868</v>
      </c>
      <c r="L203" s="9" t="s">
        <v>23</v>
      </c>
      <c r="M203" s="2" t="n">
        <v>44932</v>
      </c>
    </row>
    <row r="204" customFormat="false" ht="74.25" hidden="false" customHeight="false" outlineLevel="0" collapsed="false">
      <c r="A204" s="1" t="n">
        <v>2022</v>
      </c>
      <c r="B204" s="1" t="s">
        <v>833</v>
      </c>
      <c r="C204" s="1" t="s">
        <v>834</v>
      </c>
      <c r="D204" s="1" t="s">
        <v>835</v>
      </c>
      <c r="E204" s="5" t="s">
        <v>16</v>
      </c>
      <c r="F204" s="8" t="s">
        <v>860</v>
      </c>
      <c r="G204" s="7" t="s">
        <v>861</v>
      </c>
      <c r="H204" s="7" t="s">
        <v>862</v>
      </c>
      <c r="I204" s="7" t="s">
        <v>866</v>
      </c>
      <c r="J204" s="8" t="s">
        <v>869</v>
      </c>
      <c r="K204" s="6" t="s">
        <v>870</v>
      </c>
      <c r="L204" s="9" t="s">
        <v>23</v>
      </c>
      <c r="M204" s="2" t="n">
        <v>44932</v>
      </c>
    </row>
    <row r="205" customFormat="false" ht="74.25" hidden="false" customHeight="false" outlineLevel="0" collapsed="false">
      <c r="A205" s="1" t="n">
        <v>2022</v>
      </c>
      <c r="B205" s="1" t="s">
        <v>833</v>
      </c>
      <c r="C205" s="1" t="s">
        <v>834</v>
      </c>
      <c r="D205" s="1" t="s">
        <v>835</v>
      </c>
      <c r="E205" s="5" t="s">
        <v>16</v>
      </c>
      <c r="F205" s="8" t="s">
        <v>871</v>
      </c>
      <c r="G205" s="7" t="s">
        <v>872</v>
      </c>
      <c r="H205" s="7" t="s">
        <v>873</v>
      </c>
      <c r="I205" s="7" t="s">
        <v>874</v>
      </c>
      <c r="J205" s="8" t="s">
        <v>875</v>
      </c>
      <c r="K205" s="6" t="s">
        <v>876</v>
      </c>
      <c r="L205" s="9" t="s">
        <v>23</v>
      </c>
      <c r="M205" s="2" t="n">
        <v>45020</v>
      </c>
    </row>
    <row r="206" customFormat="false" ht="57.75" hidden="false" customHeight="false" outlineLevel="0" collapsed="false">
      <c r="A206" s="1" t="n">
        <v>2022</v>
      </c>
      <c r="B206" s="1" t="s">
        <v>833</v>
      </c>
      <c r="C206" s="1" t="s">
        <v>834</v>
      </c>
      <c r="D206" s="1" t="s">
        <v>835</v>
      </c>
      <c r="E206" s="5" t="s">
        <v>16</v>
      </c>
      <c r="F206" s="8" t="s">
        <v>877</v>
      </c>
      <c r="G206" s="7" t="s">
        <v>878</v>
      </c>
      <c r="H206" s="7" t="s">
        <v>879</v>
      </c>
      <c r="I206" s="7" t="s">
        <v>880</v>
      </c>
      <c r="J206" s="8" t="s">
        <v>881</v>
      </c>
      <c r="K206" s="6" t="s">
        <v>882</v>
      </c>
      <c r="L206" s="9" t="s">
        <v>23</v>
      </c>
      <c r="M206" s="2" t="n">
        <v>45020</v>
      </c>
    </row>
    <row r="207" customFormat="false" ht="41.25" hidden="false" customHeight="false" outlineLevel="0" collapsed="false">
      <c r="A207" s="1" t="n">
        <v>2022</v>
      </c>
      <c r="B207" s="1" t="s">
        <v>833</v>
      </c>
      <c r="C207" s="1" t="s">
        <v>834</v>
      </c>
      <c r="D207" s="1" t="s">
        <v>835</v>
      </c>
      <c r="E207" s="5" t="s">
        <v>16</v>
      </c>
      <c r="F207" s="8" t="s">
        <v>883</v>
      </c>
      <c r="G207" s="7" t="s">
        <v>884</v>
      </c>
      <c r="H207" s="7" t="s">
        <v>885</v>
      </c>
      <c r="I207" s="7" t="s">
        <v>886</v>
      </c>
      <c r="J207" s="8" t="s">
        <v>887</v>
      </c>
      <c r="K207" s="6" t="s">
        <v>888</v>
      </c>
      <c r="L207" s="9" t="s">
        <v>23</v>
      </c>
      <c r="M207" s="2" t="n">
        <v>44932</v>
      </c>
    </row>
    <row r="208" customFormat="false" ht="41.25" hidden="false" customHeight="false" outlineLevel="0" collapsed="false">
      <c r="A208" s="1" t="n">
        <v>2022</v>
      </c>
      <c r="B208" s="1" t="s">
        <v>833</v>
      </c>
      <c r="C208" s="1" t="s">
        <v>834</v>
      </c>
      <c r="D208" s="1" t="s">
        <v>835</v>
      </c>
      <c r="E208" s="5" t="s">
        <v>16</v>
      </c>
      <c r="F208" s="8" t="s">
        <v>883</v>
      </c>
      <c r="G208" s="7" t="s">
        <v>884</v>
      </c>
      <c r="H208" s="7" t="s">
        <v>885</v>
      </c>
      <c r="I208" s="7" t="s">
        <v>886</v>
      </c>
      <c r="J208" s="8" t="s">
        <v>889</v>
      </c>
      <c r="K208" s="6" t="s">
        <v>890</v>
      </c>
      <c r="L208" s="9" t="s">
        <v>23</v>
      </c>
      <c r="M208" s="2" t="n">
        <v>45020</v>
      </c>
    </row>
    <row r="209" customFormat="false" ht="41.25" hidden="false" customHeight="false" outlineLevel="0" collapsed="false">
      <c r="A209" s="1" t="n">
        <v>2022</v>
      </c>
      <c r="B209" s="1" t="s">
        <v>833</v>
      </c>
      <c r="C209" s="1" t="s">
        <v>834</v>
      </c>
      <c r="D209" s="1" t="s">
        <v>835</v>
      </c>
      <c r="E209" s="5" t="s">
        <v>16</v>
      </c>
      <c r="F209" s="8" t="s">
        <v>883</v>
      </c>
      <c r="G209" s="7" t="s">
        <v>884</v>
      </c>
      <c r="H209" s="7" t="s">
        <v>885</v>
      </c>
      <c r="I209" s="7" t="s">
        <v>886</v>
      </c>
      <c r="J209" s="8" t="s">
        <v>891</v>
      </c>
      <c r="K209" s="6" t="s">
        <v>892</v>
      </c>
      <c r="L209" s="9" t="s">
        <v>23</v>
      </c>
      <c r="M209" s="2" t="n">
        <v>45020</v>
      </c>
    </row>
    <row r="210" customFormat="false" ht="57.75" hidden="false" customHeight="false" outlineLevel="0" collapsed="false">
      <c r="A210" s="1" t="n">
        <v>2022</v>
      </c>
      <c r="B210" s="1" t="s">
        <v>833</v>
      </c>
      <c r="C210" s="1" t="s">
        <v>834</v>
      </c>
      <c r="D210" s="1" t="s">
        <v>835</v>
      </c>
      <c r="E210" s="5" t="s">
        <v>16</v>
      </c>
      <c r="F210" s="8" t="s">
        <v>893</v>
      </c>
      <c r="G210" s="7" t="s">
        <v>894</v>
      </c>
      <c r="H210" s="7" t="s">
        <v>895</v>
      </c>
      <c r="I210" s="7" t="s">
        <v>896</v>
      </c>
      <c r="J210" s="8" t="s">
        <v>897</v>
      </c>
      <c r="K210" s="6" t="s">
        <v>898</v>
      </c>
      <c r="L210" s="9" t="s">
        <v>23</v>
      </c>
      <c r="M210" s="2" t="n">
        <v>45020</v>
      </c>
    </row>
    <row r="211" customFormat="false" ht="57.75" hidden="false" customHeight="false" outlineLevel="0" collapsed="false">
      <c r="A211" s="1" t="n">
        <v>2022</v>
      </c>
      <c r="B211" s="1" t="s">
        <v>833</v>
      </c>
      <c r="C211" s="1" t="s">
        <v>834</v>
      </c>
      <c r="D211" s="1" t="s">
        <v>835</v>
      </c>
      <c r="E211" s="5" t="s">
        <v>16</v>
      </c>
      <c r="F211" s="8" t="s">
        <v>899</v>
      </c>
      <c r="G211" s="7" t="s">
        <v>900</v>
      </c>
      <c r="H211" s="7" t="s">
        <v>901</v>
      </c>
      <c r="I211" s="7" t="s">
        <v>902</v>
      </c>
      <c r="J211" s="8" t="s">
        <v>903</v>
      </c>
      <c r="K211" s="6" t="s">
        <v>904</v>
      </c>
      <c r="L211" s="9" t="s">
        <v>23</v>
      </c>
      <c r="M211" s="2" t="n">
        <v>44932</v>
      </c>
    </row>
    <row r="212" customFormat="false" ht="41.25" hidden="false" customHeight="false" outlineLevel="0" collapsed="false">
      <c r="A212" s="1" t="n">
        <v>2022</v>
      </c>
      <c r="B212" s="1" t="s">
        <v>905</v>
      </c>
      <c r="C212" s="1" t="s">
        <v>906</v>
      </c>
      <c r="D212" s="1" t="s">
        <v>907</v>
      </c>
      <c r="E212" s="5" t="s">
        <v>16</v>
      </c>
      <c r="F212" s="8" t="s">
        <v>908</v>
      </c>
      <c r="G212" s="7" t="s">
        <v>909</v>
      </c>
      <c r="H212" s="7" t="s">
        <v>910</v>
      </c>
      <c r="I212" s="7" t="s">
        <v>911</v>
      </c>
      <c r="J212" s="8" t="s">
        <v>912</v>
      </c>
      <c r="K212" s="6" t="s">
        <v>913</v>
      </c>
      <c r="L212" s="9" t="s">
        <v>23</v>
      </c>
      <c r="M212" s="2" t="n">
        <v>44936</v>
      </c>
    </row>
    <row r="213" customFormat="false" ht="41.25" hidden="false" customHeight="false" outlineLevel="0" collapsed="false">
      <c r="A213" s="1" t="n">
        <v>2022</v>
      </c>
      <c r="B213" s="1" t="s">
        <v>905</v>
      </c>
      <c r="C213" s="1" t="s">
        <v>906</v>
      </c>
      <c r="D213" s="1" t="s">
        <v>907</v>
      </c>
      <c r="E213" s="5" t="s">
        <v>16</v>
      </c>
      <c r="F213" s="8" t="s">
        <v>908</v>
      </c>
      <c r="G213" s="7" t="s">
        <v>909</v>
      </c>
      <c r="H213" s="7" t="s">
        <v>910</v>
      </c>
      <c r="I213" s="7" t="s">
        <v>911</v>
      </c>
      <c r="J213" s="8" t="s">
        <v>914</v>
      </c>
      <c r="K213" s="6" t="s">
        <v>915</v>
      </c>
      <c r="L213" s="9" t="s">
        <v>23</v>
      </c>
      <c r="M213" s="2" t="n">
        <v>45118</v>
      </c>
    </row>
    <row r="214" customFormat="false" ht="57.75" hidden="false" customHeight="false" outlineLevel="0" collapsed="false">
      <c r="A214" s="1" t="n">
        <v>2022</v>
      </c>
      <c r="B214" s="1" t="s">
        <v>905</v>
      </c>
      <c r="C214" s="1" t="s">
        <v>906</v>
      </c>
      <c r="D214" s="1" t="s">
        <v>907</v>
      </c>
      <c r="E214" s="5" t="s">
        <v>16</v>
      </c>
      <c r="F214" s="8" t="s">
        <v>916</v>
      </c>
      <c r="G214" s="7" t="s">
        <v>917</v>
      </c>
      <c r="H214" s="7" t="s">
        <v>918</v>
      </c>
      <c r="I214" s="7" t="s">
        <v>911</v>
      </c>
      <c r="J214" s="8" t="s">
        <v>919</v>
      </c>
      <c r="K214" s="6" t="s">
        <v>920</v>
      </c>
      <c r="L214" s="9" t="s">
        <v>23</v>
      </c>
      <c r="M214" s="2" t="n">
        <v>44844</v>
      </c>
    </row>
    <row r="215" customFormat="false" ht="57.75" hidden="false" customHeight="false" outlineLevel="0" collapsed="false">
      <c r="A215" s="1" t="n">
        <v>2022</v>
      </c>
      <c r="B215" s="1" t="s">
        <v>905</v>
      </c>
      <c r="C215" s="1" t="s">
        <v>906</v>
      </c>
      <c r="D215" s="1" t="s">
        <v>907</v>
      </c>
      <c r="E215" s="5" t="s">
        <v>16</v>
      </c>
      <c r="F215" s="8" t="s">
        <v>916</v>
      </c>
      <c r="G215" s="7" t="s">
        <v>917</v>
      </c>
      <c r="H215" s="7" t="s">
        <v>918</v>
      </c>
      <c r="I215" s="7" t="s">
        <v>911</v>
      </c>
      <c r="J215" s="8" t="s">
        <v>921</v>
      </c>
      <c r="K215" s="6" t="s">
        <v>922</v>
      </c>
      <c r="L215" s="9" t="s">
        <v>23</v>
      </c>
      <c r="M215" s="2" t="n">
        <v>44844</v>
      </c>
    </row>
    <row r="216" customFormat="false" ht="57.75" hidden="false" customHeight="false" outlineLevel="0" collapsed="false">
      <c r="A216" s="1" t="n">
        <v>2022</v>
      </c>
      <c r="B216" s="1" t="s">
        <v>905</v>
      </c>
      <c r="C216" s="1" t="s">
        <v>906</v>
      </c>
      <c r="D216" s="1" t="s">
        <v>907</v>
      </c>
      <c r="E216" s="5" t="s">
        <v>16</v>
      </c>
      <c r="F216" s="8" t="s">
        <v>916</v>
      </c>
      <c r="G216" s="7" t="s">
        <v>917</v>
      </c>
      <c r="H216" s="7" t="s">
        <v>918</v>
      </c>
      <c r="I216" s="7" t="s">
        <v>911</v>
      </c>
      <c r="J216" s="8" t="s">
        <v>923</v>
      </c>
      <c r="K216" s="6" t="s">
        <v>924</v>
      </c>
      <c r="L216" s="9" t="s">
        <v>55</v>
      </c>
      <c r="M216" s="2" t="n">
        <v>45118</v>
      </c>
    </row>
    <row r="217" customFormat="false" ht="66" hidden="false" customHeight="false" outlineLevel="0" collapsed="false">
      <c r="A217" s="1" t="n">
        <v>2022</v>
      </c>
      <c r="B217" s="1" t="s">
        <v>905</v>
      </c>
      <c r="C217" s="1" t="s">
        <v>906</v>
      </c>
      <c r="D217" s="1" t="s">
        <v>907</v>
      </c>
      <c r="E217" s="5" t="s">
        <v>16</v>
      </c>
      <c r="F217" s="8" t="s">
        <v>925</v>
      </c>
      <c r="G217" s="7" t="s">
        <v>926</v>
      </c>
      <c r="H217" s="7" t="s">
        <v>927</v>
      </c>
      <c r="I217" s="7" t="s">
        <v>911</v>
      </c>
      <c r="J217" s="8" t="s">
        <v>928</v>
      </c>
      <c r="K217" s="6" t="s">
        <v>929</v>
      </c>
      <c r="L217" s="9" t="s">
        <v>23</v>
      </c>
      <c r="M217" s="2" t="n">
        <v>45118</v>
      </c>
    </row>
    <row r="218" customFormat="false" ht="41.25" hidden="false" customHeight="false" outlineLevel="0" collapsed="false">
      <c r="A218" s="1" t="n">
        <v>2022</v>
      </c>
      <c r="B218" s="1" t="s">
        <v>905</v>
      </c>
      <c r="C218" s="1" t="s">
        <v>906</v>
      </c>
      <c r="D218" s="1" t="s">
        <v>907</v>
      </c>
      <c r="E218" s="5" t="s">
        <v>16</v>
      </c>
      <c r="F218" s="8" t="s">
        <v>930</v>
      </c>
      <c r="G218" s="7" t="s">
        <v>931</v>
      </c>
      <c r="H218" s="7" t="s">
        <v>932</v>
      </c>
      <c r="I218" s="7" t="s">
        <v>911</v>
      </c>
      <c r="J218" s="8" t="s">
        <v>933</v>
      </c>
      <c r="K218" s="6" t="s">
        <v>934</v>
      </c>
      <c r="L218" s="9" t="s">
        <v>23</v>
      </c>
      <c r="M218" s="2" t="n">
        <v>45118</v>
      </c>
    </row>
    <row r="219" customFormat="false" ht="41.25" hidden="false" customHeight="false" outlineLevel="0" collapsed="false">
      <c r="A219" s="1" t="n">
        <v>2022</v>
      </c>
      <c r="B219" s="1" t="s">
        <v>905</v>
      </c>
      <c r="C219" s="1" t="s">
        <v>906</v>
      </c>
      <c r="D219" s="1" t="s">
        <v>907</v>
      </c>
      <c r="E219" s="5" t="s">
        <v>16</v>
      </c>
      <c r="F219" s="8" t="s">
        <v>930</v>
      </c>
      <c r="G219" s="7" t="s">
        <v>931</v>
      </c>
      <c r="H219" s="7" t="s">
        <v>932</v>
      </c>
      <c r="I219" s="7" t="s">
        <v>911</v>
      </c>
      <c r="J219" s="8" t="s">
        <v>935</v>
      </c>
      <c r="K219" s="6" t="s">
        <v>936</v>
      </c>
      <c r="L219" s="9" t="s">
        <v>23</v>
      </c>
      <c r="M219" s="2" t="n">
        <v>45118</v>
      </c>
    </row>
    <row r="220" customFormat="false" ht="57.75" hidden="false" customHeight="false" outlineLevel="0" collapsed="false">
      <c r="A220" s="1" t="n">
        <v>2022</v>
      </c>
      <c r="B220" s="1" t="s">
        <v>905</v>
      </c>
      <c r="C220" s="1" t="s">
        <v>906</v>
      </c>
      <c r="D220" s="1" t="s">
        <v>907</v>
      </c>
      <c r="E220" s="5" t="s">
        <v>16</v>
      </c>
      <c r="F220" s="8" t="s">
        <v>937</v>
      </c>
      <c r="G220" s="7" t="s">
        <v>938</v>
      </c>
      <c r="H220" s="7" t="s">
        <v>939</v>
      </c>
      <c r="I220" s="7" t="s">
        <v>911</v>
      </c>
      <c r="J220" s="8" t="s">
        <v>940</v>
      </c>
      <c r="K220" s="6" t="s">
        <v>941</v>
      </c>
      <c r="L220" s="9" t="s">
        <v>23</v>
      </c>
      <c r="M220" s="2" t="n">
        <v>45118</v>
      </c>
    </row>
    <row r="221" customFormat="false" ht="57.75" hidden="false" customHeight="false" outlineLevel="0" collapsed="false">
      <c r="A221" s="1" t="n">
        <v>2022</v>
      </c>
      <c r="B221" s="1" t="s">
        <v>905</v>
      </c>
      <c r="C221" s="1" t="s">
        <v>906</v>
      </c>
      <c r="D221" s="1" t="s">
        <v>907</v>
      </c>
      <c r="E221" s="5" t="s">
        <v>16</v>
      </c>
      <c r="F221" s="8" t="s">
        <v>937</v>
      </c>
      <c r="G221" s="7" t="s">
        <v>938</v>
      </c>
      <c r="H221" s="7" t="s">
        <v>939</v>
      </c>
      <c r="I221" s="7" t="s">
        <v>911</v>
      </c>
      <c r="J221" s="8" t="s">
        <v>942</v>
      </c>
      <c r="K221" s="6" t="s">
        <v>943</v>
      </c>
      <c r="L221" s="9" t="s">
        <v>23</v>
      </c>
      <c r="M221" s="2" t="n">
        <v>44936</v>
      </c>
    </row>
    <row r="222" customFormat="false" ht="33.75" hidden="false" customHeight="false" outlineLevel="0" collapsed="false">
      <c r="A222" s="1" t="n">
        <v>2022</v>
      </c>
      <c r="B222" s="1" t="s">
        <v>905</v>
      </c>
      <c r="C222" s="1" t="s">
        <v>906</v>
      </c>
      <c r="D222" s="1" t="s">
        <v>907</v>
      </c>
      <c r="E222" s="5" t="s">
        <v>16</v>
      </c>
      <c r="F222" s="8" t="s">
        <v>944</v>
      </c>
      <c r="G222" s="7" t="s">
        <v>945</v>
      </c>
      <c r="H222" s="7" t="s">
        <v>946</v>
      </c>
      <c r="I222" s="7" t="s">
        <v>911</v>
      </c>
      <c r="J222" s="8" t="s">
        <v>947</v>
      </c>
      <c r="K222" s="6" t="s">
        <v>948</v>
      </c>
      <c r="L222" s="9" t="s">
        <v>23</v>
      </c>
      <c r="M222" s="2" t="n">
        <v>44844</v>
      </c>
    </row>
    <row r="223" customFormat="false" ht="33.75" hidden="false" customHeight="false" outlineLevel="0" collapsed="false">
      <c r="A223" s="1" t="n">
        <v>2022</v>
      </c>
      <c r="B223" s="1" t="s">
        <v>905</v>
      </c>
      <c r="C223" s="1" t="s">
        <v>906</v>
      </c>
      <c r="D223" s="1" t="s">
        <v>907</v>
      </c>
      <c r="E223" s="5" t="s">
        <v>16</v>
      </c>
      <c r="F223" s="8" t="s">
        <v>944</v>
      </c>
      <c r="G223" s="7" t="s">
        <v>945</v>
      </c>
      <c r="H223" s="7" t="s">
        <v>946</v>
      </c>
      <c r="I223" s="7" t="s">
        <v>911</v>
      </c>
      <c r="J223" s="8" t="s">
        <v>949</v>
      </c>
      <c r="K223" s="6" t="s">
        <v>950</v>
      </c>
      <c r="L223" s="9" t="s">
        <v>23</v>
      </c>
      <c r="M223" s="2" t="n">
        <v>45118</v>
      </c>
    </row>
    <row r="224" customFormat="false" ht="33.75" hidden="false" customHeight="false" outlineLevel="0" collapsed="false">
      <c r="A224" s="1" t="n">
        <v>2022</v>
      </c>
      <c r="B224" s="1" t="s">
        <v>905</v>
      </c>
      <c r="C224" s="1" t="s">
        <v>906</v>
      </c>
      <c r="D224" s="1" t="s">
        <v>907</v>
      </c>
      <c r="E224" s="5" t="s">
        <v>16</v>
      </c>
      <c r="F224" s="8" t="s">
        <v>944</v>
      </c>
      <c r="G224" s="7" t="s">
        <v>945</v>
      </c>
      <c r="H224" s="7" t="s">
        <v>946</v>
      </c>
      <c r="I224" s="7" t="s">
        <v>911</v>
      </c>
      <c r="J224" s="8" t="s">
        <v>951</v>
      </c>
      <c r="K224" s="6" t="s">
        <v>952</v>
      </c>
      <c r="L224" s="9" t="s">
        <v>23</v>
      </c>
      <c r="M224" s="2" t="n">
        <v>45118</v>
      </c>
    </row>
    <row r="225" customFormat="false" ht="74.25" hidden="false" customHeight="false" outlineLevel="0" collapsed="false">
      <c r="A225" s="1" t="n">
        <v>2022</v>
      </c>
      <c r="B225" s="1" t="s">
        <v>905</v>
      </c>
      <c r="C225" s="1" t="s">
        <v>906</v>
      </c>
      <c r="D225" s="1" t="s">
        <v>907</v>
      </c>
      <c r="E225" s="5" t="s">
        <v>16</v>
      </c>
      <c r="F225" s="8" t="s">
        <v>953</v>
      </c>
      <c r="G225" s="7" t="s">
        <v>954</v>
      </c>
      <c r="H225" s="7" t="s">
        <v>955</v>
      </c>
      <c r="I225" s="7" t="s">
        <v>911</v>
      </c>
      <c r="J225" s="8" t="s">
        <v>956</v>
      </c>
      <c r="K225" s="6" t="s">
        <v>957</v>
      </c>
      <c r="L225" s="9" t="s">
        <v>23</v>
      </c>
      <c r="M225" s="2" t="n">
        <v>44936</v>
      </c>
    </row>
    <row r="226" customFormat="false" ht="41.25" hidden="false" customHeight="false" outlineLevel="0" collapsed="false">
      <c r="A226" s="1" t="n">
        <v>2022</v>
      </c>
      <c r="B226" s="1" t="s">
        <v>958</v>
      </c>
      <c r="C226" s="1" t="s">
        <v>959</v>
      </c>
      <c r="D226" s="1" t="s">
        <v>554</v>
      </c>
      <c r="E226" s="5" t="s">
        <v>16</v>
      </c>
      <c r="F226" s="8" t="s">
        <v>960</v>
      </c>
      <c r="G226" s="7" t="s">
        <v>961</v>
      </c>
      <c r="H226" s="7" t="s">
        <v>962</v>
      </c>
      <c r="I226" s="7" t="s">
        <v>963</v>
      </c>
      <c r="J226" s="8" t="s">
        <v>964</v>
      </c>
      <c r="K226" s="6" t="s">
        <v>965</v>
      </c>
      <c r="L226" s="9" t="s">
        <v>827</v>
      </c>
    </row>
    <row r="227" customFormat="false" ht="24.75" hidden="false" customHeight="false" outlineLevel="0" collapsed="false">
      <c r="A227" s="1" t="n">
        <v>2022</v>
      </c>
      <c r="B227" s="1" t="s">
        <v>958</v>
      </c>
      <c r="C227" s="1" t="s">
        <v>959</v>
      </c>
      <c r="D227" s="1" t="s">
        <v>554</v>
      </c>
      <c r="E227" s="5" t="s">
        <v>16</v>
      </c>
      <c r="F227" s="8" t="s">
        <v>966</v>
      </c>
      <c r="G227" s="7" t="s">
        <v>967</v>
      </c>
      <c r="H227" s="7" t="s">
        <v>968</v>
      </c>
      <c r="I227" s="7" t="s">
        <v>969</v>
      </c>
      <c r="J227" s="8" t="s">
        <v>970</v>
      </c>
      <c r="K227" s="6" t="s">
        <v>971</v>
      </c>
      <c r="L227" s="9" t="s">
        <v>23</v>
      </c>
      <c r="M227" s="2" t="n">
        <v>45033</v>
      </c>
    </row>
    <row r="228" customFormat="false" ht="27" hidden="false" customHeight="false" outlineLevel="0" collapsed="false">
      <c r="A228" s="1" t="n">
        <v>2022</v>
      </c>
      <c r="B228" s="1" t="s">
        <v>958</v>
      </c>
      <c r="C228" s="1" t="s">
        <v>959</v>
      </c>
      <c r="D228" s="1" t="s">
        <v>554</v>
      </c>
      <c r="E228" s="5" t="s">
        <v>16</v>
      </c>
      <c r="F228" s="8" t="s">
        <v>966</v>
      </c>
      <c r="G228" s="7" t="s">
        <v>967</v>
      </c>
      <c r="H228" s="7" t="s">
        <v>968</v>
      </c>
      <c r="I228" s="7" t="s">
        <v>969</v>
      </c>
      <c r="J228" s="8" t="s">
        <v>972</v>
      </c>
      <c r="K228" s="6" t="s">
        <v>973</v>
      </c>
      <c r="L228" s="9" t="s">
        <v>23</v>
      </c>
      <c r="M228" s="2" t="n">
        <v>45033</v>
      </c>
    </row>
    <row r="229" customFormat="false" ht="27" hidden="false" customHeight="false" outlineLevel="0" collapsed="false">
      <c r="A229" s="1" t="n">
        <v>2022</v>
      </c>
      <c r="B229" s="1" t="s">
        <v>958</v>
      </c>
      <c r="C229" s="1" t="s">
        <v>959</v>
      </c>
      <c r="D229" s="1" t="s">
        <v>554</v>
      </c>
      <c r="E229" s="5" t="s">
        <v>16</v>
      </c>
      <c r="F229" s="8" t="s">
        <v>974</v>
      </c>
      <c r="G229" s="7" t="s">
        <v>975</v>
      </c>
      <c r="H229" s="7" t="s">
        <v>976</v>
      </c>
      <c r="I229" s="7" t="s">
        <v>977</v>
      </c>
      <c r="J229" s="8" t="s">
        <v>978</v>
      </c>
      <c r="K229" s="6" t="s">
        <v>979</v>
      </c>
      <c r="L229" s="9" t="s">
        <v>23</v>
      </c>
      <c r="M229" s="2" t="n">
        <v>45033</v>
      </c>
    </row>
    <row r="230" customFormat="false" ht="36" hidden="false" customHeight="false" outlineLevel="0" collapsed="false">
      <c r="A230" s="1" t="n">
        <v>2022</v>
      </c>
      <c r="B230" s="1" t="s">
        <v>958</v>
      </c>
      <c r="C230" s="1" t="s">
        <v>959</v>
      </c>
      <c r="D230" s="1" t="s">
        <v>554</v>
      </c>
      <c r="E230" s="5" t="s">
        <v>16</v>
      </c>
      <c r="F230" s="8" t="s">
        <v>974</v>
      </c>
      <c r="G230" s="7" t="s">
        <v>975</v>
      </c>
      <c r="H230" s="7" t="s">
        <v>980</v>
      </c>
      <c r="I230" s="7" t="s">
        <v>977</v>
      </c>
      <c r="J230" s="8" t="s">
        <v>981</v>
      </c>
      <c r="K230" s="6" t="s">
        <v>982</v>
      </c>
      <c r="L230" s="9" t="s">
        <v>55</v>
      </c>
      <c r="M230" s="2" t="n">
        <v>45114</v>
      </c>
    </row>
    <row r="231" customFormat="false" ht="49.5" hidden="false" customHeight="false" outlineLevel="0" collapsed="false">
      <c r="A231" s="1" t="n">
        <v>2022</v>
      </c>
      <c r="B231" s="1" t="s">
        <v>958</v>
      </c>
      <c r="C231" s="1" t="s">
        <v>959</v>
      </c>
      <c r="D231" s="1" t="s">
        <v>554</v>
      </c>
      <c r="E231" s="5" t="s">
        <v>16</v>
      </c>
      <c r="F231" s="8" t="s">
        <v>983</v>
      </c>
      <c r="G231" s="7" t="s">
        <v>984</v>
      </c>
      <c r="H231" s="7" t="s">
        <v>985</v>
      </c>
      <c r="I231" s="7" t="s">
        <v>986</v>
      </c>
      <c r="J231" s="8" t="s">
        <v>987</v>
      </c>
      <c r="K231" s="6" t="s">
        <v>988</v>
      </c>
      <c r="L231" s="9" t="s">
        <v>55</v>
      </c>
      <c r="M231" s="2" t="n">
        <v>45114</v>
      </c>
    </row>
    <row r="232" customFormat="false" ht="49.5" hidden="false" customHeight="false" outlineLevel="0" collapsed="false">
      <c r="A232" s="1" t="n">
        <v>2022</v>
      </c>
      <c r="B232" s="1" t="s">
        <v>958</v>
      </c>
      <c r="C232" s="1" t="s">
        <v>959</v>
      </c>
      <c r="D232" s="1" t="s">
        <v>554</v>
      </c>
      <c r="E232" s="5" t="s">
        <v>16</v>
      </c>
      <c r="F232" s="8" t="s">
        <v>983</v>
      </c>
      <c r="G232" s="7" t="s">
        <v>984</v>
      </c>
      <c r="H232" s="7" t="s">
        <v>985</v>
      </c>
      <c r="I232" s="7" t="s">
        <v>986</v>
      </c>
      <c r="J232" s="8" t="s">
        <v>989</v>
      </c>
      <c r="K232" s="6" t="s">
        <v>990</v>
      </c>
      <c r="L232" s="9" t="s">
        <v>55</v>
      </c>
      <c r="M232" s="2" t="n">
        <v>45114</v>
      </c>
    </row>
    <row r="233" customFormat="false" ht="49.5" hidden="false" customHeight="false" outlineLevel="0" collapsed="false">
      <c r="A233" s="1" t="n">
        <v>2022</v>
      </c>
      <c r="B233" s="1" t="s">
        <v>958</v>
      </c>
      <c r="C233" s="1" t="s">
        <v>959</v>
      </c>
      <c r="D233" s="1" t="s">
        <v>554</v>
      </c>
      <c r="E233" s="5" t="s">
        <v>16</v>
      </c>
      <c r="F233" s="8" t="s">
        <v>991</v>
      </c>
      <c r="G233" s="7" t="s">
        <v>992</v>
      </c>
      <c r="H233" s="7" t="s">
        <v>993</v>
      </c>
      <c r="I233" s="7" t="s">
        <v>994</v>
      </c>
      <c r="J233" s="8" t="s">
        <v>995</v>
      </c>
      <c r="K233" s="6" t="s">
        <v>996</v>
      </c>
      <c r="L233" s="9" t="s">
        <v>55</v>
      </c>
      <c r="M233" s="2" t="n">
        <v>45114</v>
      </c>
    </row>
    <row r="234" customFormat="false" ht="36" hidden="false" customHeight="false" outlineLevel="0" collapsed="false">
      <c r="A234" s="1" t="n">
        <v>2022</v>
      </c>
      <c r="B234" s="1" t="s">
        <v>958</v>
      </c>
      <c r="C234" s="1" t="s">
        <v>959</v>
      </c>
      <c r="D234" s="1" t="s">
        <v>554</v>
      </c>
      <c r="E234" s="5" t="s">
        <v>16</v>
      </c>
      <c r="F234" s="8" t="s">
        <v>997</v>
      </c>
      <c r="G234" s="7" t="s">
        <v>998</v>
      </c>
      <c r="H234" s="7" t="s">
        <v>999</v>
      </c>
      <c r="I234" s="7" t="s">
        <v>1000</v>
      </c>
      <c r="J234" s="8" t="s">
        <v>1001</v>
      </c>
      <c r="K234" s="6" t="s">
        <v>1002</v>
      </c>
      <c r="L234" s="9" t="s">
        <v>55</v>
      </c>
      <c r="M234" s="2" t="n">
        <v>45114</v>
      </c>
    </row>
    <row r="235" customFormat="false" ht="41.25" hidden="false" customHeight="false" outlineLevel="0" collapsed="false">
      <c r="A235" s="1" t="n">
        <v>2022</v>
      </c>
      <c r="B235" s="1" t="s">
        <v>958</v>
      </c>
      <c r="C235" s="1" t="s">
        <v>959</v>
      </c>
      <c r="D235" s="1" t="s">
        <v>554</v>
      </c>
      <c r="E235" s="5" t="s">
        <v>16</v>
      </c>
      <c r="F235" s="8" t="s">
        <v>1003</v>
      </c>
      <c r="G235" s="7" t="s">
        <v>1004</v>
      </c>
      <c r="H235" s="7" t="s">
        <v>1005</v>
      </c>
      <c r="I235" s="7" t="s">
        <v>1006</v>
      </c>
      <c r="J235" s="8" t="s">
        <v>1007</v>
      </c>
      <c r="K235" s="6" t="s">
        <v>1008</v>
      </c>
      <c r="L235" s="9" t="s">
        <v>23</v>
      </c>
      <c r="M235" s="2" t="n">
        <v>45033</v>
      </c>
    </row>
    <row r="236" customFormat="false" ht="41.25" hidden="false" customHeight="false" outlineLevel="0" collapsed="false">
      <c r="A236" s="1" t="n">
        <v>2022</v>
      </c>
      <c r="B236" s="1" t="s">
        <v>1009</v>
      </c>
      <c r="C236" s="1" t="s">
        <v>1010</v>
      </c>
      <c r="D236" s="1" t="s">
        <v>15</v>
      </c>
      <c r="E236" s="5" t="s">
        <v>16</v>
      </c>
      <c r="F236" s="8" t="s">
        <v>1011</v>
      </c>
      <c r="G236" s="7" t="s">
        <v>1012</v>
      </c>
      <c r="H236" s="7" t="s">
        <v>1013</v>
      </c>
      <c r="I236" s="7" t="s">
        <v>1014</v>
      </c>
      <c r="J236" s="8" t="s">
        <v>1015</v>
      </c>
      <c r="K236" s="6" t="s">
        <v>1016</v>
      </c>
      <c r="L236" s="9" t="s">
        <v>23</v>
      </c>
      <c r="M236" s="2" t="n">
        <v>44937</v>
      </c>
    </row>
    <row r="237" customFormat="false" ht="41.25" hidden="false" customHeight="false" outlineLevel="0" collapsed="false">
      <c r="A237" s="1" t="n">
        <v>2022</v>
      </c>
      <c r="B237" s="1" t="s">
        <v>1009</v>
      </c>
      <c r="C237" s="1" t="s">
        <v>1010</v>
      </c>
      <c r="D237" s="1" t="s">
        <v>15</v>
      </c>
      <c r="E237" s="5" t="s">
        <v>16</v>
      </c>
      <c r="F237" s="8" t="s">
        <v>1011</v>
      </c>
      <c r="G237" s="7" t="s">
        <v>1012</v>
      </c>
      <c r="H237" s="7" t="s">
        <v>1013</v>
      </c>
      <c r="I237" s="7" t="s">
        <v>1014</v>
      </c>
      <c r="J237" s="8" t="s">
        <v>1017</v>
      </c>
      <c r="K237" s="6" t="s">
        <v>1018</v>
      </c>
      <c r="L237" s="9" t="s">
        <v>23</v>
      </c>
      <c r="M237" s="2" t="n">
        <v>44937</v>
      </c>
    </row>
    <row r="238" customFormat="false" ht="41.25" hidden="false" customHeight="false" outlineLevel="0" collapsed="false">
      <c r="A238" s="1" t="n">
        <v>2022</v>
      </c>
      <c r="B238" s="1" t="s">
        <v>1009</v>
      </c>
      <c r="C238" s="1" t="s">
        <v>1010</v>
      </c>
      <c r="D238" s="1" t="s">
        <v>15</v>
      </c>
      <c r="E238" s="5" t="s">
        <v>16</v>
      </c>
      <c r="F238" s="8" t="s">
        <v>1011</v>
      </c>
      <c r="G238" s="7" t="s">
        <v>1012</v>
      </c>
      <c r="H238" s="7" t="s">
        <v>1013</v>
      </c>
      <c r="I238" s="7" t="s">
        <v>1014</v>
      </c>
      <c r="J238" s="8" t="s">
        <v>1019</v>
      </c>
      <c r="K238" s="6" t="s">
        <v>1020</v>
      </c>
      <c r="L238" s="9" t="s">
        <v>23</v>
      </c>
      <c r="M238" s="2" t="n">
        <v>44937</v>
      </c>
    </row>
    <row r="239" customFormat="false" ht="41.25" hidden="false" customHeight="false" outlineLevel="0" collapsed="false">
      <c r="A239" s="1" t="n">
        <v>2022</v>
      </c>
      <c r="B239" s="1" t="s">
        <v>1009</v>
      </c>
      <c r="C239" s="1" t="s">
        <v>1010</v>
      </c>
      <c r="D239" s="1" t="s">
        <v>15</v>
      </c>
      <c r="E239" s="5" t="s">
        <v>16</v>
      </c>
      <c r="F239" s="8" t="s">
        <v>1011</v>
      </c>
      <c r="G239" s="7" t="s">
        <v>1012</v>
      </c>
      <c r="H239" s="7" t="s">
        <v>1013</v>
      </c>
      <c r="I239" s="7" t="s">
        <v>1014</v>
      </c>
      <c r="J239" s="8" t="s">
        <v>1021</v>
      </c>
      <c r="K239" s="6" t="s">
        <v>1022</v>
      </c>
      <c r="L239" s="9" t="s">
        <v>23</v>
      </c>
      <c r="M239" s="2" t="n">
        <v>45033</v>
      </c>
    </row>
    <row r="240" customFormat="false" ht="27" hidden="false" customHeight="false" outlineLevel="0" collapsed="false">
      <c r="A240" s="1" t="n">
        <v>2022</v>
      </c>
      <c r="B240" s="1" t="s">
        <v>1009</v>
      </c>
      <c r="C240" s="1" t="s">
        <v>1010</v>
      </c>
      <c r="D240" s="1" t="s">
        <v>15</v>
      </c>
      <c r="E240" s="5" t="s">
        <v>16</v>
      </c>
      <c r="F240" s="8" t="s">
        <v>1023</v>
      </c>
      <c r="G240" s="7" t="s">
        <v>1024</v>
      </c>
      <c r="H240" s="7" t="s">
        <v>1025</v>
      </c>
      <c r="I240" s="7" t="s">
        <v>1014</v>
      </c>
      <c r="J240" s="8" t="s">
        <v>1026</v>
      </c>
      <c r="K240" s="6" t="s">
        <v>1027</v>
      </c>
      <c r="L240" s="9" t="s">
        <v>23</v>
      </c>
      <c r="M240" s="2" t="n">
        <v>44937</v>
      </c>
    </row>
    <row r="241" customFormat="false" ht="24.75" hidden="false" customHeight="false" outlineLevel="0" collapsed="false">
      <c r="A241" s="1" t="n">
        <v>2022</v>
      </c>
      <c r="B241" s="1" t="s">
        <v>1009</v>
      </c>
      <c r="C241" s="1" t="s">
        <v>1010</v>
      </c>
      <c r="D241" s="1" t="s">
        <v>15</v>
      </c>
      <c r="E241" s="5" t="s">
        <v>16</v>
      </c>
      <c r="F241" s="8" t="s">
        <v>1023</v>
      </c>
      <c r="G241" s="7" t="s">
        <v>1024</v>
      </c>
      <c r="H241" s="7" t="s">
        <v>1025</v>
      </c>
      <c r="I241" s="7" t="s">
        <v>1014</v>
      </c>
      <c r="J241" s="8" t="s">
        <v>1028</v>
      </c>
      <c r="K241" s="6" t="s">
        <v>1029</v>
      </c>
      <c r="L241" s="9" t="s">
        <v>23</v>
      </c>
      <c r="M241" s="2" t="n">
        <v>44937</v>
      </c>
    </row>
    <row r="242" customFormat="false" ht="27" hidden="false" customHeight="false" outlineLevel="0" collapsed="false">
      <c r="A242" s="1" t="n">
        <v>2022</v>
      </c>
      <c r="B242" s="1" t="s">
        <v>1009</v>
      </c>
      <c r="C242" s="1" t="s">
        <v>1010</v>
      </c>
      <c r="D242" s="1" t="s">
        <v>15</v>
      </c>
      <c r="E242" s="5" t="s">
        <v>16</v>
      </c>
      <c r="F242" s="8" t="s">
        <v>1023</v>
      </c>
      <c r="G242" s="7" t="s">
        <v>1024</v>
      </c>
      <c r="H242" s="7" t="s">
        <v>1025</v>
      </c>
      <c r="I242" s="7" t="s">
        <v>1014</v>
      </c>
      <c r="J242" s="8" t="s">
        <v>1030</v>
      </c>
      <c r="K242" s="6" t="s">
        <v>1031</v>
      </c>
      <c r="L242" s="9" t="s">
        <v>23</v>
      </c>
      <c r="M242" s="2" t="n">
        <v>45033</v>
      </c>
    </row>
    <row r="243" customFormat="false" ht="36" hidden="false" customHeight="false" outlineLevel="0" collapsed="false">
      <c r="A243" s="1" t="n">
        <v>2022</v>
      </c>
      <c r="B243" s="1" t="s">
        <v>1009</v>
      </c>
      <c r="C243" s="1" t="s">
        <v>1010</v>
      </c>
      <c r="D243" s="1" t="s">
        <v>15</v>
      </c>
      <c r="E243" s="5" t="s">
        <v>16</v>
      </c>
      <c r="F243" s="8" t="s">
        <v>1023</v>
      </c>
      <c r="G243" s="7" t="s">
        <v>1024</v>
      </c>
      <c r="H243" s="7" t="s">
        <v>1025</v>
      </c>
      <c r="I243" s="7" t="s">
        <v>1014</v>
      </c>
      <c r="J243" s="8" t="s">
        <v>1032</v>
      </c>
      <c r="K243" s="6" t="s">
        <v>1033</v>
      </c>
      <c r="L243" s="9" t="s">
        <v>23</v>
      </c>
      <c r="M243" s="2" t="n">
        <v>45114</v>
      </c>
    </row>
    <row r="244" customFormat="false" ht="27" hidden="false" customHeight="false" outlineLevel="0" collapsed="false">
      <c r="A244" s="1" t="n">
        <v>2022</v>
      </c>
      <c r="B244" s="1" t="s">
        <v>1034</v>
      </c>
      <c r="C244" s="1" t="s">
        <v>1035</v>
      </c>
      <c r="D244" s="1" t="s">
        <v>1036</v>
      </c>
      <c r="E244" s="5" t="s">
        <v>16</v>
      </c>
      <c r="F244" s="8" t="s">
        <v>1037</v>
      </c>
      <c r="G244" s="7" t="s">
        <v>1038</v>
      </c>
      <c r="H244" s="7" t="s">
        <v>1039</v>
      </c>
      <c r="I244" s="7" t="s">
        <v>1040</v>
      </c>
      <c r="J244" s="8" t="s">
        <v>1041</v>
      </c>
      <c r="K244" s="6" t="s">
        <v>1042</v>
      </c>
      <c r="L244" s="9" t="s">
        <v>23</v>
      </c>
      <c r="M244" s="2" t="n">
        <v>44936</v>
      </c>
    </row>
    <row r="245" customFormat="false" ht="27" hidden="false" customHeight="false" outlineLevel="0" collapsed="false">
      <c r="A245" s="1" t="n">
        <v>2022</v>
      </c>
      <c r="B245" s="1" t="s">
        <v>1034</v>
      </c>
      <c r="C245" s="1" t="s">
        <v>1035</v>
      </c>
      <c r="D245" s="1" t="s">
        <v>1036</v>
      </c>
      <c r="E245" s="5" t="s">
        <v>16</v>
      </c>
      <c r="F245" s="8" t="s">
        <v>1037</v>
      </c>
      <c r="G245" s="7" t="s">
        <v>1038</v>
      </c>
      <c r="H245" s="7" t="s">
        <v>1039</v>
      </c>
      <c r="I245" s="7" t="s">
        <v>1040</v>
      </c>
      <c r="J245" s="8" t="s">
        <v>1043</v>
      </c>
      <c r="K245" s="6" t="s">
        <v>1044</v>
      </c>
      <c r="L245" s="9" t="s">
        <v>23</v>
      </c>
      <c r="M245" s="2" t="n">
        <v>45029</v>
      </c>
    </row>
    <row r="246" customFormat="false" ht="27" hidden="false" customHeight="false" outlineLevel="0" collapsed="false">
      <c r="A246" s="1" t="n">
        <v>2022</v>
      </c>
      <c r="B246" s="1" t="s">
        <v>1034</v>
      </c>
      <c r="C246" s="1" t="s">
        <v>1035</v>
      </c>
      <c r="D246" s="1" t="s">
        <v>1036</v>
      </c>
      <c r="E246" s="5" t="s">
        <v>16</v>
      </c>
      <c r="F246" s="8" t="s">
        <v>1037</v>
      </c>
      <c r="G246" s="7" t="s">
        <v>1038</v>
      </c>
      <c r="H246" s="7" t="s">
        <v>1039</v>
      </c>
      <c r="I246" s="7" t="s">
        <v>1040</v>
      </c>
      <c r="J246" s="8" t="s">
        <v>1045</v>
      </c>
      <c r="K246" s="6" t="s">
        <v>1046</v>
      </c>
      <c r="L246" s="9" t="s">
        <v>23</v>
      </c>
      <c r="M246" s="2" t="n">
        <v>45119</v>
      </c>
    </row>
    <row r="247" customFormat="false" ht="27" hidden="false" customHeight="false" outlineLevel="0" collapsed="false">
      <c r="A247" s="1" t="n">
        <v>2022</v>
      </c>
      <c r="B247" s="1" t="s">
        <v>1034</v>
      </c>
      <c r="C247" s="1" t="s">
        <v>1035</v>
      </c>
      <c r="D247" s="1" t="s">
        <v>1036</v>
      </c>
      <c r="E247" s="5" t="s">
        <v>16</v>
      </c>
      <c r="F247" s="8" t="s">
        <v>1037</v>
      </c>
      <c r="G247" s="7" t="s">
        <v>1038</v>
      </c>
      <c r="H247" s="7" t="s">
        <v>1039</v>
      </c>
      <c r="I247" s="7" t="s">
        <v>1040</v>
      </c>
      <c r="J247" s="8" t="s">
        <v>1047</v>
      </c>
      <c r="K247" s="6" t="s">
        <v>1048</v>
      </c>
      <c r="L247" s="9" t="s">
        <v>23</v>
      </c>
      <c r="M247" s="2" t="n">
        <v>45119</v>
      </c>
    </row>
    <row r="248" customFormat="false" ht="22.5" hidden="false" customHeight="false" outlineLevel="0" collapsed="false">
      <c r="A248" s="1" t="n">
        <v>2022</v>
      </c>
      <c r="B248" s="1" t="s">
        <v>1034</v>
      </c>
      <c r="C248" s="1" t="s">
        <v>1035</v>
      </c>
      <c r="D248" s="1" t="s">
        <v>1036</v>
      </c>
      <c r="E248" s="5" t="s">
        <v>16</v>
      </c>
      <c r="F248" s="8" t="s">
        <v>1037</v>
      </c>
      <c r="G248" s="7" t="s">
        <v>1038</v>
      </c>
      <c r="H248" s="7" t="s">
        <v>1039</v>
      </c>
      <c r="I248" s="7" t="s">
        <v>1040</v>
      </c>
      <c r="J248" s="8" t="s">
        <v>1049</v>
      </c>
      <c r="K248" s="6" t="s">
        <v>1050</v>
      </c>
      <c r="L248" s="9" t="s">
        <v>827</v>
      </c>
    </row>
    <row r="249" customFormat="false" ht="74.25" hidden="false" customHeight="false" outlineLevel="0" collapsed="false">
      <c r="A249" s="1" t="n">
        <v>2022</v>
      </c>
      <c r="B249" s="1" t="s">
        <v>1034</v>
      </c>
      <c r="C249" s="1" t="s">
        <v>1035</v>
      </c>
      <c r="D249" s="1" t="s">
        <v>1036</v>
      </c>
      <c r="E249" s="5" t="s">
        <v>16</v>
      </c>
      <c r="F249" s="8" t="s">
        <v>1051</v>
      </c>
      <c r="G249" s="7" t="s">
        <v>1052</v>
      </c>
      <c r="H249" s="7" t="s">
        <v>1053</v>
      </c>
      <c r="I249" s="7" t="s">
        <v>1054</v>
      </c>
      <c r="J249" s="8" t="s">
        <v>1055</v>
      </c>
      <c r="K249" s="6" t="s">
        <v>1056</v>
      </c>
      <c r="L249" s="9" t="s">
        <v>23</v>
      </c>
      <c r="M249" s="2" t="n">
        <v>45119</v>
      </c>
    </row>
    <row r="250" customFormat="false" ht="74.25" hidden="false" customHeight="false" outlineLevel="0" collapsed="false">
      <c r="A250" s="1" t="n">
        <v>2022</v>
      </c>
      <c r="B250" s="1" t="s">
        <v>1034</v>
      </c>
      <c r="C250" s="1" t="s">
        <v>1035</v>
      </c>
      <c r="D250" s="1" t="s">
        <v>1036</v>
      </c>
      <c r="E250" s="5" t="s">
        <v>16</v>
      </c>
      <c r="F250" s="8" t="s">
        <v>1051</v>
      </c>
      <c r="G250" s="7" t="s">
        <v>1052</v>
      </c>
      <c r="H250" s="7" t="s">
        <v>1057</v>
      </c>
      <c r="I250" s="7" t="s">
        <v>1040</v>
      </c>
      <c r="J250" s="8" t="s">
        <v>1058</v>
      </c>
      <c r="K250" s="6" t="s">
        <v>1059</v>
      </c>
      <c r="L250" s="9" t="s">
        <v>827</v>
      </c>
    </row>
    <row r="251" customFormat="false" ht="74.25" hidden="false" customHeight="false" outlineLevel="0" collapsed="false">
      <c r="A251" s="1" t="n">
        <v>2022</v>
      </c>
      <c r="B251" s="1" t="s">
        <v>1034</v>
      </c>
      <c r="C251" s="1" t="s">
        <v>1035</v>
      </c>
      <c r="D251" s="1" t="s">
        <v>1036</v>
      </c>
      <c r="E251" s="5" t="s">
        <v>16</v>
      </c>
      <c r="F251" s="8" t="s">
        <v>1051</v>
      </c>
      <c r="G251" s="7" t="s">
        <v>1052</v>
      </c>
      <c r="H251" s="7" t="s">
        <v>1057</v>
      </c>
      <c r="I251" s="7" t="s">
        <v>1040</v>
      </c>
      <c r="J251" s="8" t="s">
        <v>1060</v>
      </c>
      <c r="K251" s="6" t="s">
        <v>1061</v>
      </c>
      <c r="L251" s="9" t="s">
        <v>827</v>
      </c>
    </row>
    <row r="252" customFormat="false" ht="74.25" hidden="false" customHeight="false" outlineLevel="0" collapsed="false">
      <c r="A252" s="1" t="n">
        <v>2022</v>
      </c>
      <c r="B252" s="1" t="s">
        <v>1034</v>
      </c>
      <c r="C252" s="1" t="s">
        <v>1035</v>
      </c>
      <c r="D252" s="1" t="s">
        <v>1036</v>
      </c>
      <c r="E252" s="5" t="s">
        <v>16</v>
      </c>
      <c r="F252" s="8" t="s">
        <v>1051</v>
      </c>
      <c r="G252" s="7" t="s">
        <v>1052</v>
      </c>
      <c r="H252" s="7" t="s">
        <v>1057</v>
      </c>
      <c r="I252" s="7" t="s">
        <v>1040</v>
      </c>
      <c r="J252" s="8" t="s">
        <v>1062</v>
      </c>
      <c r="K252" s="6" t="s">
        <v>1063</v>
      </c>
      <c r="L252" s="9" t="s">
        <v>827</v>
      </c>
    </row>
    <row r="253" customFormat="false" ht="41.25" hidden="false" customHeight="false" outlineLevel="0" collapsed="false">
      <c r="A253" s="1" t="n">
        <v>2022</v>
      </c>
      <c r="B253" s="1" t="s">
        <v>1034</v>
      </c>
      <c r="C253" s="1" t="s">
        <v>1035</v>
      </c>
      <c r="D253" s="1" t="s">
        <v>1036</v>
      </c>
      <c r="E253" s="5" t="s">
        <v>16</v>
      </c>
      <c r="F253" s="8" t="s">
        <v>1064</v>
      </c>
      <c r="G253" s="7" t="s">
        <v>1065</v>
      </c>
      <c r="H253" s="7" t="s">
        <v>1066</v>
      </c>
      <c r="I253" s="7" t="s">
        <v>1067</v>
      </c>
      <c r="J253" s="8" t="s">
        <v>1068</v>
      </c>
      <c r="K253" s="6" t="s">
        <v>1069</v>
      </c>
      <c r="L253" s="9" t="s">
        <v>23</v>
      </c>
      <c r="M253" s="2" t="n">
        <v>44936</v>
      </c>
    </row>
    <row r="254" customFormat="false" ht="41.25" hidden="false" customHeight="false" outlineLevel="0" collapsed="false">
      <c r="A254" s="1" t="n">
        <v>2022</v>
      </c>
      <c r="B254" s="1" t="s">
        <v>1034</v>
      </c>
      <c r="C254" s="1" t="s">
        <v>1035</v>
      </c>
      <c r="D254" s="1" t="s">
        <v>1036</v>
      </c>
      <c r="E254" s="5" t="s">
        <v>16</v>
      </c>
      <c r="F254" s="8" t="s">
        <v>1064</v>
      </c>
      <c r="G254" s="7" t="s">
        <v>1065</v>
      </c>
      <c r="H254" s="7" t="s">
        <v>1066</v>
      </c>
      <c r="I254" s="7" t="s">
        <v>1040</v>
      </c>
      <c r="J254" s="8" t="s">
        <v>1070</v>
      </c>
      <c r="K254" s="6" t="s">
        <v>1071</v>
      </c>
      <c r="L254" s="9" t="s">
        <v>23</v>
      </c>
      <c r="M254" s="2" t="n">
        <v>44936</v>
      </c>
    </row>
    <row r="255" customFormat="false" ht="41.25" hidden="false" customHeight="false" outlineLevel="0" collapsed="false">
      <c r="A255" s="1" t="n">
        <v>2022</v>
      </c>
      <c r="B255" s="1" t="s">
        <v>1034</v>
      </c>
      <c r="C255" s="1" t="s">
        <v>1035</v>
      </c>
      <c r="D255" s="1" t="s">
        <v>1036</v>
      </c>
      <c r="E255" s="5" t="s">
        <v>16</v>
      </c>
      <c r="F255" s="8" t="s">
        <v>1064</v>
      </c>
      <c r="G255" s="7" t="s">
        <v>1065</v>
      </c>
      <c r="H255" s="7" t="s">
        <v>1072</v>
      </c>
      <c r="I255" s="7" t="s">
        <v>1040</v>
      </c>
      <c r="J255" s="8" t="s">
        <v>1073</v>
      </c>
      <c r="K255" s="6" t="s">
        <v>1074</v>
      </c>
      <c r="L255" s="9" t="s">
        <v>827</v>
      </c>
    </row>
    <row r="256" customFormat="false" ht="41.25" hidden="false" customHeight="false" outlineLevel="0" collapsed="false">
      <c r="A256" s="1" t="n">
        <v>2022</v>
      </c>
      <c r="B256" s="1" t="s">
        <v>1034</v>
      </c>
      <c r="C256" s="1" t="s">
        <v>1035</v>
      </c>
      <c r="D256" s="1" t="s">
        <v>1036</v>
      </c>
      <c r="E256" s="5" t="s">
        <v>16</v>
      </c>
      <c r="F256" s="8" t="s">
        <v>1064</v>
      </c>
      <c r="G256" s="7" t="s">
        <v>1065</v>
      </c>
      <c r="H256" s="7" t="s">
        <v>1072</v>
      </c>
      <c r="I256" s="7" t="s">
        <v>1040</v>
      </c>
      <c r="J256" s="8" t="s">
        <v>1075</v>
      </c>
      <c r="K256" s="6" t="s">
        <v>1076</v>
      </c>
      <c r="L256" s="9" t="s">
        <v>827</v>
      </c>
    </row>
    <row r="257" customFormat="false" ht="27" hidden="false" customHeight="false" outlineLevel="0" collapsed="false">
      <c r="A257" s="1" t="n">
        <v>2022</v>
      </c>
      <c r="B257" s="1" t="s">
        <v>1034</v>
      </c>
      <c r="C257" s="1" t="s">
        <v>1035</v>
      </c>
      <c r="D257" s="1" t="s">
        <v>1036</v>
      </c>
      <c r="E257" s="5" t="s">
        <v>16</v>
      </c>
      <c r="F257" s="8" t="s">
        <v>1077</v>
      </c>
      <c r="G257" s="7" t="s">
        <v>1078</v>
      </c>
      <c r="H257" s="7" t="s">
        <v>1079</v>
      </c>
      <c r="I257" s="7" t="s">
        <v>1080</v>
      </c>
      <c r="J257" s="8" t="s">
        <v>1081</v>
      </c>
      <c r="K257" s="6" t="s">
        <v>1082</v>
      </c>
      <c r="L257" s="9" t="s">
        <v>55</v>
      </c>
      <c r="M257" s="2" t="n">
        <v>45120</v>
      </c>
    </row>
    <row r="258" customFormat="false" ht="27" hidden="false" customHeight="false" outlineLevel="0" collapsed="false">
      <c r="A258" s="1" t="n">
        <v>2022</v>
      </c>
      <c r="B258" s="1" t="s">
        <v>1034</v>
      </c>
      <c r="C258" s="1" t="s">
        <v>1035</v>
      </c>
      <c r="D258" s="1" t="s">
        <v>1036</v>
      </c>
      <c r="E258" s="5" t="s">
        <v>16</v>
      </c>
      <c r="F258" s="8" t="s">
        <v>1077</v>
      </c>
      <c r="G258" s="7" t="s">
        <v>1078</v>
      </c>
      <c r="H258" s="7" t="s">
        <v>1079</v>
      </c>
      <c r="I258" s="7" t="s">
        <v>1080</v>
      </c>
      <c r="J258" s="8" t="s">
        <v>1083</v>
      </c>
      <c r="K258" s="6" t="s">
        <v>1084</v>
      </c>
      <c r="L258" s="9" t="s">
        <v>55</v>
      </c>
      <c r="M258" s="2" t="n">
        <v>45120</v>
      </c>
    </row>
    <row r="259" customFormat="false" ht="27" hidden="false" customHeight="false" outlineLevel="0" collapsed="false">
      <c r="A259" s="1" t="n">
        <v>2022</v>
      </c>
      <c r="B259" s="1" t="s">
        <v>1034</v>
      </c>
      <c r="C259" s="1" t="s">
        <v>1035</v>
      </c>
      <c r="D259" s="1" t="s">
        <v>1036</v>
      </c>
      <c r="E259" s="5" t="s">
        <v>16</v>
      </c>
      <c r="F259" s="8" t="s">
        <v>1077</v>
      </c>
      <c r="G259" s="7" t="s">
        <v>1078</v>
      </c>
      <c r="H259" s="7" t="s">
        <v>1085</v>
      </c>
      <c r="I259" s="7" t="s">
        <v>1040</v>
      </c>
      <c r="J259" s="8" t="s">
        <v>1086</v>
      </c>
      <c r="K259" s="6" t="s">
        <v>1087</v>
      </c>
      <c r="L259" s="9" t="s">
        <v>827</v>
      </c>
    </row>
    <row r="260" customFormat="false" ht="27" hidden="false" customHeight="false" outlineLevel="0" collapsed="false">
      <c r="A260" s="1" t="n">
        <v>2022</v>
      </c>
      <c r="B260" s="1" t="s">
        <v>1034</v>
      </c>
      <c r="C260" s="1" t="s">
        <v>1035</v>
      </c>
      <c r="D260" s="1" t="s">
        <v>1036</v>
      </c>
      <c r="E260" s="5" t="s">
        <v>16</v>
      </c>
      <c r="F260" s="8" t="s">
        <v>1077</v>
      </c>
      <c r="G260" s="7" t="s">
        <v>1078</v>
      </c>
      <c r="H260" s="7" t="s">
        <v>1085</v>
      </c>
      <c r="I260" s="7" t="s">
        <v>1040</v>
      </c>
      <c r="J260" s="8" t="s">
        <v>1088</v>
      </c>
      <c r="K260" s="6" t="s">
        <v>1089</v>
      </c>
      <c r="L260" s="9" t="s">
        <v>827</v>
      </c>
    </row>
    <row r="261" customFormat="false" ht="24.75" hidden="false" customHeight="false" outlineLevel="0" collapsed="false">
      <c r="A261" s="1" t="n">
        <v>2022</v>
      </c>
      <c r="B261" s="1" t="s">
        <v>1034</v>
      </c>
      <c r="C261" s="1" t="s">
        <v>1035</v>
      </c>
      <c r="D261" s="1" t="s">
        <v>1036</v>
      </c>
      <c r="E261" s="5" t="s">
        <v>16</v>
      </c>
      <c r="F261" s="8" t="s">
        <v>1077</v>
      </c>
      <c r="G261" s="7" t="s">
        <v>1078</v>
      </c>
      <c r="H261" s="7" t="s">
        <v>1085</v>
      </c>
      <c r="I261" s="7" t="s">
        <v>1040</v>
      </c>
      <c r="J261" s="8" t="s">
        <v>1090</v>
      </c>
      <c r="K261" s="6" t="s">
        <v>1091</v>
      </c>
      <c r="L261" s="9" t="s">
        <v>827</v>
      </c>
    </row>
    <row r="262" customFormat="false" ht="41.25" hidden="false" customHeight="false" outlineLevel="0" collapsed="false">
      <c r="A262" s="1" t="n">
        <v>2022</v>
      </c>
      <c r="B262" s="1" t="s">
        <v>1034</v>
      </c>
      <c r="C262" s="1" t="s">
        <v>1035</v>
      </c>
      <c r="D262" s="1" t="s">
        <v>1036</v>
      </c>
      <c r="E262" s="5" t="s">
        <v>16</v>
      </c>
      <c r="F262" s="8" t="s">
        <v>1092</v>
      </c>
      <c r="G262" s="7" t="s">
        <v>1093</v>
      </c>
      <c r="H262" s="7" t="s">
        <v>1094</v>
      </c>
      <c r="I262" s="7" t="s">
        <v>1040</v>
      </c>
      <c r="J262" s="8" t="s">
        <v>1095</v>
      </c>
      <c r="K262" s="6" t="s">
        <v>1096</v>
      </c>
      <c r="L262" s="9" t="s">
        <v>23</v>
      </c>
      <c r="M262" s="2" t="n">
        <v>44936</v>
      </c>
    </row>
    <row r="263" customFormat="false" ht="41.25" hidden="false" customHeight="false" outlineLevel="0" collapsed="false">
      <c r="A263" s="1" t="n">
        <v>2022</v>
      </c>
      <c r="B263" s="1" t="s">
        <v>1034</v>
      </c>
      <c r="C263" s="1" t="s">
        <v>1035</v>
      </c>
      <c r="D263" s="1" t="s">
        <v>1036</v>
      </c>
      <c r="E263" s="5" t="s">
        <v>16</v>
      </c>
      <c r="F263" s="8" t="s">
        <v>1092</v>
      </c>
      <c r="G263" s="7" t="s">
        <v>1093</v>
      </c>
      <c r="H263" s="7" t="s">
        <v>1094</v>
      </c>
      <c r="I263" s="7" t="s">
        <v>1040</v>
      </c>
      <c r="J263" s="8" t="s">
        <v>1097</v>
      </c>
      <c r="K263" s="6" t="s">
        <v>1098</v>
      </c>
      <c r="L263" s="9" t="s">
        <v>55</v>
      </c>
      <c r="M263" s="2" t="n">
        <v>45119</v>
      </c>
    </row>
    <row r="264" customFormat="false" ht="41.25" hidden="false" customHeight="false" outlineLevel="0" collapsed="false">
      <c r="A264" s="1" t="n">
        <v>2022</v>
      </c>
      <c r="B264" s="1" t="s">
        <v>1034</v>
      </c>
      <c r="C264" s="1" t="s">
        <v>1035</v>
      </c>
      <c r="D264" s="1" t="s">
        <v>1036</v>
      </c>
      <c r="E264" s="5" t="s">
        <v>16</v>
      </c>
      <c r="F264" s="8" t="s">
        <v>1092</v>
      </c>
      <c r="G264" s="7" t="s">
        <v>1093</v>
      </c>
      <c r="H264" s="7" t="s">
        <v>1094</v>
      </c>
      <c r="I264" s="7" t="s">
        <v>1040</v>
      </c>
      <c r="J264" s="8" t="s">
        <v>1099</v>
      </c>
      <c r="K264" s="6" t="s">
        <v>1100</v>
      </c>
      <c r="L264" s="9" t="s">
        <v>827</v>
      </c>
    </row>
    <row r="265" customFormat="false" ht="41.25" hidden="false" customHeight="false" outlineLevel="0" collapsed="false">
      <c r="A265" s="1" t="n">
        <v>2022</v>
      </c>
      <c r="B265" s="1" t="s">
        <v>1034</v>
      </c>
      <c r="C265" s="1" t="s">
        <v>1035</v>
      </c>
      <c r="D265" s="1" t="s">
        <v>1036</v>
      </c>
      <c r="E265" s="5" t="s">
        <v>16</v>
      </c>
      <c r="F265" s="8" t="s">
        <v>1092</v>
      </c>
      <c r="G265" s="7" t="s">
        <v>1093</v>
      </c>
      <c r="H265" s="7" t="s">
        <v>1101</v>
      </c>
      <c r="I265" s="7" t="s">
        <v>1040</v>
      </c>
      <c r="J265" s="8" t="s">
        <v>1102</v>
      </c>
      <c r="K265" s="6" t="s">
        <v>1103</v>
      </c>
      <c r="L265" s="9" t="s">
        <v>827</v>
      </c>
    </row>
    <row r="266" customFormat="false" ht="41.25" hidden="false" customHeight="false" outlineLevel="0" collapsed="false">
      <c r="A266" s="1" t="n">
        <v>2022</v>
      </c>
      <c r="B266" s="1" t="s">
        <v>1034</v>
      </c>
      <c r="C266" s="1" t="s">
        <v>1035</v>
      </c>
      <c r="D266" s="1" t="s">
        <v>1036</v>
      </c>
      <c r="E266" s="5" t="s">
        <v>16</v>
      </c>
      <c r="F266" s="8" t="s">
        <v>1092</v>
      </c>
      <c r="G266" s="7" t="s">
        <v>1093</v>
      </c>
      <c r="H266" s="7" t="s">
        <v>1101</v>
      </c>
      <c r="I266" s="7" t="s">
        <v>1040</v>
      </c>
      <c r="J266" s="8" t="s">
        <v>1104</v>
      </c>
      <c r="K266" s="6" t="s">
        <v>1105</v>
      </c>
      <c r="L266" s="9" t="s">
        <v>827</v>
      </c>
    </row>
    <row r="267" customFormat="false" ht="41.25" hidden="false" customHeight="false" outlineLevel="0" collapsed="false">
      <c r="A267" s="1" t="n">
        <v>2022</v>
      </c>
      <c r="B267" s="1" t="s">
        <v>1034</v>
      </c>
      <c r="C267" s="1" t="s">
        <v>1035</v>
      </c>
      <c r="D267" s="1" t="s">
        <v>1036</v>
      </c>
      <c r="E267" s="5" t="s">
        <v>16</v>
      </c>
      <c r="F267" s="8" t="s">
        <v>1092</v>
      </c>
      <c r="G267" s="7" t="s">
        <v>1093</v>
      </c>
      <c r="H267" s="7" t="s">
        <v>1101</v>
      </c>
      <c r="I267" s="7" t="s">
        <v>1040</v>
      </c>
      <c r="J267" s="8" t="s">
        <v>1106</v>
      </c>
      <c r="K267" s="6" t="s">
        <v>1107</v>
      </c>
      <c r="L267" s="9" t="s">
        <v>827</v>
      </c>
    </row>
    <row r="268" customFormat="false" ht="27" hidden="false" customHeight="false" outlineLevel="0" collapsed="false">
      <c r="A268" s="1" t="n">
        <v>2022</v>
      </c>
      <c r="B268" s="1" t="s">
        <v>1034</v>
      </c>
      <c r="C268" s="1" t="s">
        <v>1035</v>
      </c>
      <c r="D268" s="1" t="s">
        <v>1036</v>
      </c>
      <c r="E268" s="5" t="s">
        <v>16</v>
      </c>
      <c r="F268" s="8" t="s">
        <v>1108</v>
      </c>
      <c r="G268" s="7" t="s">
        <v>1109</v>
      </c>
      <c r="H268" s="7" t="s">
        <v>1110</v>
      </c>
      <c r="I268" s="7" t="s">
        <v>1040</v>
      </c>
      <c r="J268" s="8" t="s">
        <v>1111</v>
      </c>
      <c r="K268" s="6" t="s">
        <v>1112</v>
      </c>
      <c r="L268" s="9" t="s">
        <v>23</v>
      </c>
      <c r="M268" s="2" t="n">
        <v>45119</v>
      </c>
    </row>
    <row r="269" customFormat="false" ht="27" hidden="false" customHeight="false" outlineLevel="0" collapsed="false">
      <c r="A269" s="1" t="n">
        <v>2022</v>
      </c>
      <c r="B269" s="1" t="s">
        <v>1034</v>
      </c>
      <c r="C269" s="1" t="s">
        <v>1035</v>
      </c>
      <c r="D269" s="1" t="s">
        <v>1036</v>
      </c>
      <c r="E269" s="5" t="s">
        <v>16</v>
      </c>
      <c r="F269" s="8" t="s">
        <v>1108</v>
      </c>
      <c r="G269" s="7" t="s">
        <v>1109</v>
      </c>
      <c r="H269" s="7" t="s">
        <v>1110</v>
      </c>
      <c r="I269" s="7" t="s">
        <v>1040</v>
      </c>
      <c r="J269" s="8" t="s">
        <v>1113</v>
      </c>
      <c r="K269" s="6" t="s">
        <v>1114</v>
      </c>
      <c r="L269" s="9" t="s">
        <v>23</v>
      </c>
      <c r="M269" s="2" t="n">
        <v>45119</v>
      </c>
    </row>
    <row r="270" customFormat="false" ht="27" hidden="false" customHeight="false" outlineLevel="0" collapsed="false">
      <c r="A270" s="1" t="n">
        <v>2022</v>
      </c>
      <c r="B270" s="1" t="s">
        <v>1034</v>
      </c>
      <c r="C270" s="1" t="s">
        <v>1035</v>
      </c>
      <c r="D270" s="1" t="s">
        <v>1036</v>
      </c>
      <c r="E270" s="5" t="s">
        <v>16</v>
      </c>
      <c r="F270" s="8" t="s">
        <v>1108</v>
      </c>
      <c r="G270" s="7" t="s">
        <v>1109</v>
      </c>
      <c r="H270" s="7" t="s">
        <v>1110</v>
      </c>
      <c r="I270" s="7" t="s">
        <v>1040</v>
      </c>
      <c r="J270" s="8" t="s">
        <v>1115</v>
      </c>
      <c r="K270" s="6" t="s">
        <v>1116</v>
      </c>
      <c r="L270" s="9" t="s">
        <v>827</v>
      </c>
    </row>
    <row r="271" customFormat="false" ht="24.75" hidden="false" customHeight="false" outlineLevel="0" collapsed="false">
      <c r="A271" s="1" t="n">
        <v>2022</v>
      </c>
      <c r="B271" s="1" t="s">
        <v>1034</v>
      </c>
      <c r="C271" s="1" t="s">
        <v>1035</v>
      </c>
      <c r="D271" s="1" t="s">
        <v>1036</v>
      </c>
      <c r="E271" s="5" t="s">
        <v>16</v>
      </c>
      <c r="F271" s="8" t="s">
        <v>1108</v>
      </c>
      <c r="G271" s="7" t="s">
        <v>1109</v>
      </c>
      <c r="H271" s="7" t="s">
        <v>1110</v>
      </c>
      <c r="I271" s="7" t="s">
        <v>1040</v>
      </c>
      <c r="J271" s="8" t="s">
        <v>1117</v>
      </c>
      <c r="K271" s="6" t="s">
        <v>1118</v>
      </c>
      <c r="L271" s="9" t="s">
        <v>827</v>
      </c>
    </row>
    <row r="272" customFormat="false" ht="49.5" hidden="false" customHeight="false" outlineLevel="0" collapsed="false">
      <c r="A272" s="1" t="n">
        <v>2022</v>
      </c>
      <c r="B272" s="1" t="s">
        <v>1034</v>
      </c>
      <c r="C272" s="1" t="s">
        <v>1035</v>
      </c>
      <c r="D272" s="1" t="s">
        <v>1036</v>
      </c>
      <c r="E272" s="5" t="s">
        <v>16</v>
      </c>
      <c r="F272" s="8" t="s">
        <v>1119</v>
      </c>
      <c r="G272" s="7" t="s">
        <v>1120</v>
      </c>
      <c r="H272" s="7" t="s">
        <v>1121</v>
      </c>
      <c r="I272" s="7" t="s">
        <v>1067</v>
      </c>
      <c r="J272" s="8" t="s">
        <v>1122</v>
      </c>
      <c r="K272" s="6" t="s">
        <v>1123</v>
      </c>
      <c r="L272" s="9" t="s">
        <v>23</v>
      </c>
      <c r="M272" s="2" t="n">
        <v>45029</v>
      </c>
    </row>
    <row r="273" customFormat="false" ht="49.5" hidden="false" customHeight="false" outlineLevel="0" collapsed="false">
      <c r="A273" s="1" t="n">
        <v>2022</v>
      </c>
      <c r="B273" s="1" t="s">
        <v>1034</v>
      </c>
      <c r="C273" s="1" t="s">
        <v>1035</v>
      </c>
      <c r="D273" s="1" t="s">
        <v>1036</v>
      </c>
      <c r="E273" s="5" t="s">
        <v>16</v>
      </c>
      <c r="F273" s="8" t="s">
        <v>1119</v>
      </c>
      <c r="G273" s="7" t="s">
        <v>1120</v>
      </c>
      <c r="H273" s="7" t="s">
        <v>1124</v>
      </c>
      <c r="I273" s="7" t="s">
        <v>1067</v>
      </c>
      <c r="J273" s="8" t="s">
        <v>1125</v>
      </c>
      <c r="K273" s="6" t="s">
        <v>1126</v>
      </c>
      <c r="L273" s="9" t="s">
        <v>23</v>
      </c>
      <c r="M273" s="2" t="n">
        <v>44936</v>
      </c>
    </row>
    <row r="274" customFormat="false" ht="49.5" hidden="false" customHeight="false" outlineLevel="0" collapsed="false">
      <c r="A274" s="1" t="n">
        <v>2022</v>
      </c>
      <c r="B274" s="1" t="s">
        <v>1034</v>
      </c>
      <c r="C274" s="1" t="s">
        <v>1035</v>
      </c>
      <c r="D274" s="1" t="s">
        <v>1036</v>
      </c>
      <c r="E274" s="5" t="s">
        <v>16</v>
      </c>
      <c r="F274" s="8" t="s">
        <v>1119</v>
      </c>
      <c r="G274" s="7" t="s">
        <v>1120</v>
      </c>
      <c r="H274" s="7" t="s">
        <v>1124</v>
      </c>
      <c r="I274" s="7" t="s">
        <v>1040</v>
      </c>
      <c r="J274" s="8" t="s">
        <v>1127</v>
      </c>
      <c r="K274" s="6" t="s">
        <v>1128</v>
      </c>
      <c r="L274" s="9" t="s">
        <v>23</v>
      </c>
      <c r="M274" s="2" t="n">
        <v>44936</v>
      </c>
    </row>
    <row r="275" customFormat="false" ht="49.5" hidden="false" customHeight="false" outlineLevel="0" collapsed="false">
      <c r="A275" s="1" t="n">
        <v>2022</v>
      </c>
      <c r="B275" s="1" t="s">
        <v>1034</v>
      </c>
      <c r="C275" s="1" t="s">
        <v>1035</v>
      </c>
      <c r="D275" s="1" t="s">
        <v>1036</v>
      </c>
      <c r="E275" s="5" t="s">
        <v>16</v>
      </c>
      <c r="F275" s="8" t="s">
        <v>1119</v>
      </c>
      <c r="G275" s="7" t="s">
        <v>1120</v>
      </c>
      <c r="H275" s="7" t="s">
        <v>1124</v>
      </c>
      <c r="I275" s="7" t="s">
        <v>1040</v>
      </c>
      <c r="J275" s="8" t="s">
        <v>1129</v>
      </c>
      <c r="K275" s="6" t="s">
        <v>1130</v>
      </c>
      <c r="L275" s="9" t="s">
        <v>23</v>
      </c>
      <c r="M275" s="2" t="n">
        <v>44936</v>
      </c>
    </row>
    <row r="276" customFormat="false" ht="49.5" hidden="false" customHeight="false" outlineLevel="0" collapsed="false">
      <c r="A276" s="1" t="n">
        <v>2022</v>
      </c>
      <c r="B276" s="1" t="s">
        <v>1034</v>
      </c>
      <c r="C276" s="1" t="s">
        <v>1035</v>
      </c>
      <c r="D276" s="1" t="s">
        <v>1036</v>
      </c>
      <c r="E276" s="5" t="s">
        <v>16</v>
      </c>
      <c r="F276" s="8" t="s">
        <v>1119</v>
      </c>
      <c r="G276" s="7" t="s">
        <v>1120</v>
      </c>
      <c r="H276" s="7" t="s">
        <v>1124</v>
      </c>
      <c r="I276" s="7" t="s">
        <v>1040</v>
      </c>
      <c r="J276" s="8" t="s">
        <v>1131</v>
      </c>
      <c r="K276" s="6" t="s">
        <v>1132</v>
      </c>
      <c r="L276" s="9" t="s">
        <v>23</v>
      </c>
      <c r="M276" s="2" t="n">
        <v>44936</v>
      </c>
    </row>
    <row r="277" customFormat="false" ht="41.25" hidden="false" customHeight="false" outlineLevel="0" collapsed="false">
      <c r="A277" s="1" t="n">
        <v>2022</v>
      </c>
      <c r="B277" s="1" t="s">
        <v>1034</v>
      </c>
      <c r="C277" s="1" t="s">
        <v>1035</v>
      </c>
      <c r="D277" s="1" t="s">
        <v>1036</v>
      </c>
      <c r="E277" s="5" t="s">
        <v>16</v>
      </c>
      <c r="F277" s="8" t="s">
        <v>1133</v>
      </c>
      <c r="G277" s="7" t="s">
        <v>1134</v>
      </c>
      <c r="H277" s="7" t="s">
        <v>1135</v>
      </c>
      <c r="I277" s="7" t="s">
        <v>1040</v>
      </c>
      <c r="J277" s="8" t="s">
        <v>1136</v>
      </c>
      <c r="K277" s="6" t="s">
        <v>1137</v>
      </c>
      <c r="L277" s="9" t="s">
        <v>23</v>
      </c>
      <c r="M277" s="2" t="n">
        <v>45119</v>
      </c>
    </row>
    <row r="278" customFormat="false" ht="41.25" hidden="false" customHeight="false" outlineLevel="0" collapsed="false">
      <c r="A278" s="1" t="n">
        <v>2022</v>
      </c>
      <c r="B278" s="1" t="s">
        <v>1034</v>
      </c>
      <c r="C278" s="1" t="s">
        <v>1035</v>
      </c>
      <c r="D278" s="1" t="s">
        <v>1036</v>
      </c>
      <c r="E278" s="5" t="s">
        <v>16</v>
      </c>
      <c r="F278" s="8" t="s">
        <v>1133</v>
      </c>
      <c r="G278" s="7" t="s">
        <v>1134</v>
      </c>
      <c r="H278" s="7" t="s">
        <v>1138</v>
      </c>
      <c r="I278" s="7" t="s">
        <v>1040</v>
      </c>
      <c r="J278" s="8" t="s">
        <v>1139</v>
      </c>
      <c r="K278" s="6" t="s">
        <v>1140</v>
      </c>
      <c r="L278" s="9" t="s">
        <v>55</v>
      </c>
      <c r="M278" s="2" t="n">
        <v>45119</v>
      </c>
    </row>
    <row r="279" customFormat="false" ht="41.25" hidden="false" customHeight="false" outlineLevel="0" collapsed="false">
      <c r="A279" s="1" t="n">
        <v>2022</v>
      </c>
      <c r="B279" s="1" t="s">
        <v>1034</v>
      </c>
      <c r="C279" s="1" t="s">
        <v>1035</v>
      </c>
      <c r="D279" s="1" t="s">
        <v>1036</v>
      </c>
      <c r="E279" s="5" t="s">
        <v>16</v>
      </c>
      <c r="F279" s="8" t="s">
        <v>1133</v>
      </c>
      <c r="G279" s="7" t="s">
        <v>1134</v>
      </c>
      <c r="H279" s="7" t="s">
        <v>1138</v>
      </c>
      <c r="I279" s="7" t="s">
        <v>1040</v>
      </c>
      <c r="J279" s="8" t="s">
        <v>1141</v>
      </c>
      <c r="K279" s="6" t="s">
        <v>1142</v>
      </c>
      <c r="L279" s="9" t="s">
        <v>23</v>
      </c>
      <c r="M279" s="2" t="n">
        <v>45119</v>
      </c>
    </row>
    <row r="280" customFormat="false" ht="41.25" hidden="false" customHeight="false" outlineLevel="0" collapsed="false">
      <c r="A280" s="1" t="n">
        <v>2022</v>
      </c>
      <c r="B280" s="1" t="s">
        <v>1034</v>
      </c>
      <c r="C280" s="1" t="s">
        <v>1035</v>
      </c>
      <c r="D280" s="1" t="s">
        <v>1036</v>
      </c>
      <c r="E280" s="5" t="s">
        <v>16</v>
      </c>
      <c r="F280" s="8" t="s">
        <v>1133</v>
      </c>
      <c r="G280" s="7" t="s">
        <v>1134</v>
      </c>
      <c r="H280" s="7" t="s">
        <v>1138</v>
      </c>
      <c r="I280" s="7" t="s">
        <v>1040</v>
      </c>
      <c r="J280" s="8" t="s">
        <v>1143</v>
      </c>
      <c r="K280" s="6" t="s">
        <v>1144</v>
      </c>
      <c r="L280" s="9" t="s">
        <v>827</v>
      </c>
    </row>
    <row r="281" customFormat="false" ht="41.25" hidden="false" customHeight="false" outlineLevel="0" collapsed="false">
      <c r="A281" s="1" t="n">
        <v>2022</v>
      </c>
      <c r="B281" s="1" t="s">
        <v>1034</v>
      </c>
      <c r="C281" s="1" t="s">
        <v>1035</v>
      </c>
      <c r="D281" s="1" t="s">
        <v>1036</v>
      </c>
      <c r="E281" s="5" t="s">
        <v>16</v>
      </c>
      <c r="F281" s="8" t="s">
        <v>1133</v>
      </c>
      <c r="G281" s="7" t="s">
        <v>1134</v>
      </c>
      <c r="H281" s="7" t="s">
        <v>1138</v>
      </c>
      <c r="I281" s="7" t="s">
        <v>1040</v>
      </c>
      <c r="J281" s="8" t="s">
        <v>1145</v>
      </c>
      <c r="K281" s="6" t="s">
        <v>1146</v>
      </c>
      <c r="L281" s="9" t="s">
        <v>23</v>
      </c>
      <c r="M281" s="2" t="n">
        <v>45030</v>
      </c>
    </row>
    <row r="282" customFormat="false" ht="41.25" hidden="false" customHeight="false" outlineLevel="0" collapsed="false">
      <c r="A282" s="1" t="n">
        <v>2022</v>
      </c>
      <c r="B282" s="1" t="s">
        <v>1034</v>
      </c>
      <c r="C282" s="1" t="s">
        <v>1035</v>
      </c>
      <c r="D282" s="1" t="s">
        <v>1036</v>
      </c>
      <c r="E282" s="5" t="s">
        <v>16</v>
      </c>
      <c r="F282" s="8" t="s">
        <v>1133</v>
      </c>
      <c r="G282" s="7" t="s">
        <v>1134</v>
      </c>
      <c r="H282" s="7" t="s">
        <v>1138</v>
      </c>
      <c r="I282" s="7" t="s">
        <v>1040</v>
      </c>
      <c r="J282" s="8" t="s">
        <v>1147</v>
      </c>
      <c r="K282" s="6" t="s">
        <v>1148</v>
      </c>
      <c r="L282" s="9" t="s">
        <v>23</v>
      </c>
      <c r="M282" s="2" t="n">
        <v>45119</v>
      </c>
    </row>
    <row r="283" customFormat="false" ht="41.25" hidden="false" customHeight="false" outlineLevel="0" collapsed="false">
      <c r="A283" s="1" t="n">
        <v>2022</v>
      </c>
      <c r="B283" s="1" t="s">
        <v>1034</v>
      </c>
      <c r="C283" s="1" t="s">
        <v>1035</v>
      </c>
      <c r="D283" s="1" t="s">
        <v>1036</v>
      </c>
      <c r="E283" s="5" t="s">
        <v>16</v>
      </c>
      <c r="F283" s="8" t="s">
        <v>1133</v>
      </c>
      <c r="G283" s="7" t="s">
        <v>1134</v>
      </c>
      <c r="H283" s="7" t="s">
        <v>1138</v>
      </c>
      <c r="I283" s="7" t="s">
        <v>1040</v>
      </c>
      <c r="J283" s="8" t="s">
        <v>1149</v>
      </c>
      <c r="K283" s="6" t="s">
        <v>1150</v>
      </c>
      <c r="L283" s="9" t="s">
        <v>827</v>
      </c>
    </row>
    <row r="284" customFormat="false" ht="41.25" hidden="false" customHeight="false" outlineLevel="0" collapsed="false">
      <c r="A284" s="1" t="n">
        <v>2022</v>
      </c>
      <c r="B284" s="1" t="s">
        <v>1034</v>
      </c>
      <c r="C284" s="1" t="s">
        <v>1035</v>
      </c>
      <c r="D284" s="1" t="s">
        <v>1036</v>
      </c>
      <c r="E284" s="5" t="s">
        <v>16</v>
      </c>
      <c r="F284" s="8" t="s">
        <v>1133</v>
      </c>
      <c r="G284" s="7" t="s">
        <v>1134</v>
      </c>
      <c r="H284" s="7" t="s">
        <v>1138</v>
      </c>
      <c r="I284" s="7" t="s">
        <v>1040</v>
      </c>
      <c r="J284" s="8" t="s">
        <v>1151</v>
      </c>
      <c r="K284" s="6" t="s">
        <v>1152</v>
      </c>
      <c r="L284" s="9" t="s">
        <v>827</v>
      </c>
    </row>
    <row r="285" customFormat="false" ht="41.25" hidden="false" customHeight="false" outlineLevel="0" collapsed="false">
      <c r="A285" s="1" t="n">
        <v>2022</v>
      </c>
      <c r="B285" s="1" t="s">
        <v>1034</v>
      </c>
      <c r="C285" s="1" t="s">
        <v>1035</v>
      </c>
      <c r="D285" s="1" t="s">
        <v>1036</v>
      </c>
      <c r="E285" s="5" t="s">
        <v>16</v>
      </c>
      <c r="F285" s="8" t="s">
        <v>1133</v>
      </c>
      <c r="G285" s="7" t="s">
        <v>1134</v>
      </c>
      <c r="H285" s="7" t="s">
        <v>1138</v>
      </c>
      <c r="I285" s="7" t="s">
        <v>1040</v>
      </c>
      <c r="J285" s="8" t="s">
        <v>1153</v>
      </c>
      <c r="K285" s="6" t="s">
        <v>1154</v>
      </c>
      <c r="L285" s="9" t="s">
        <v>827</v>
      </c>
    </row>
    <row r="286" customFormat="false" ht="33" hidden="false" customHeight="false" outlineLevel="0" collapsed="false">
      <c r="A286" s="1" t="n">
        <v>2022</v>
      </c>
      <c r="B286" s="1" t="s">
        <v>1034</v>
      </c>
      <c r="C286" s="1" t="s">
        <v>1035</v>
      </c>
      <c r="D286" s="1" t="s">
        <v>1036</v>
      </c>
      <c r="E286" s="5" t="s">
        <v>16</v>
      </c>
      <c r="F286" s="8" t="s">
        <v>1155</v>
      </c>
      <c r="G286" s="7" t="s">
        <v>1156</v>
      </c>
      <c r="H286" s="7" t="s">
        <v>1157</v>
      </c>
      <c r="I286" s="7" t="s">
        <v>1040</v>
      </c>
      <c r="J286" s="8" t="s">
        <v>1158</v>
      </c>
      <c r="K286" s="6" t="s">
        <v>1159</v>
      </c>
      <c r="L286" s="9" t="s">
        <v>23</v>
      </c>
      <c r="M286" s="2" t="n">
        <v>44936</v>
      </c>
    </row>
    <row r="287" customFormat="false" ht="33" hidden="false" customHeight="false" outlineLevel="0" collapsed="false">
      <c r="A287" s="1" t="n">
        <v>2022</v>
      </c>
      <c r="B287" s="1" t="s">
        <v>1034</v>
      </c>
      <c r="C287" s="1" t="s">
        <v>1035</v>
      </c>
      <c r="D287" s="1" t="s">
        <v>1036</v>
      </c>
      <c r="E287" s="5" t="s">
        <v>16</v>
      </c>
      <c r="F287" s="8" t="s">
        <v>1155</v>
      </c>
      <c r="G287" s="7" t="s">
        <v>1156</v>
      </c>
      <c r="H287" s="7" t="s">
        <v>1157</v>
      </c>
      <c r="I287" s="7" t="s">
        <v>1040</v>
      </c>
      <c r="J287" s="8" t="s">
        <v>1160</v>
      </c>
      <c r="K287" s="6" t="s">
        <v>1161</v>
      </c>
      <c r="L287" s="9" t="s">
        <v>23</v>
      </c>
      <c r="M287" s="2" t="n">
        <v>45119</v>
      </c>
    </row>
    <row r="288" customFormat="false" ht="33" hidden="false" customHeight="false" outlineLevel="0" collapsed="false">
      <c r="A288" s="1" t="n">
        <v>2022</v>
      </c>
      <c r="B288" s="1" t="s">
        <v>1034</v>
      </c>
      <c r="C288" s="1" t="s">
        <v>1035</v>
      </c>
      <c r="D288" s="1" t="s">
        <v>1036</v>
      </c>
      <c r="E288" s="5" t="s">
        <v>16</v>
      </c>
      <c r="F288" s="8" t="s">
        <v>1155</v>
      </c>
      <c r="G288" s="7" t="s">
        <v>1156</v>
      </c>
      <c r="H288" s="7" t="s">
        <v>1157</v>
      </c>
      <c r="I288" s="7" t="s">
        <v>1040</v>
      </c>
      <c r="J288" s="8" t="s">
        <v>1162</v>
      </c>
      <c r="K288" s="6" t="s">
        <v>1163</v>
      </c>
      <c r="L288" s="9" t="s">
        <v>827</v>
      </c>
    </row>
    <row r="289" customFormat="false" ht="33" hidden="false" customHeight="false" outlineLevel="0" collapsed="false">
      <c r="A289" s="1" t="n">
        <v>2022</v>
      </c>
      <c r="B289" s="1" t="s">
        <v>1034</v>
      </c>
      <c r="C289" s="1" t="s">
        <v>1035</v>
      </c>
      <c r="D289" s="1" t="s">
        <v>1036</v>
      </c>
      <c r="E289" s="5" t="s">
        <v>16</v>
      </c>
      <c r="F289" s="8" t="s">
        <v>1155</v>
      </c>
      <c r="G289" s="7" t="s">
        <v>1156</v>
      </c>
      <c r="H289" s="7" t="s">
        <v>1157</v>
      </c>
      <c r="I289" s="7" t="s">
        <v>1040</v>
      </c>
      <c r="J289" s="8" t="s">
        <v>1164</v>
      </c>
      <c r="K289" s="6" t="s">
        <v>1165</v>
      </c>
      <c r="L289" s="9" t="s">
        <v>827</v>
      </c>
    </row>
    <row r="290" customFormat="false" ht="33" hidden="false" customHeight="false" outlineLevel="0" collapsed="false">
      <c r="A290" s="1" t="n">
        <v>2022</v>
      </c>
      <c r="B290" s="1" t="s">
        <v>1034</v>
      </c>
      <c r="C290" s="1" t="s">
        <v>1035</v>
      </c>
      <c r="D290" s="1" t="s">
        <v>1036</v>
      </c>
      <c r="E290" s="5" t="s">
        <v>16</v>
      </c>
      <c r="F290" s="8" t="s">
        <v>1166</v>
      </c>
      <c r="G290" s="7" t="s">
        <v>1167</v>
      </c>
      <c r="H290" s="7" t="s">
        <v>1168</v>
      </c>
      <c r="I290" s="7" t="s">
        <v>1040</v>
      </c>
      <c r="J290" s="8" t="s">
        <v>1169</v>
      </c>
      <c r="K290" s="6" t="s">
        <v>1170</v>
      </c>
      <c r="L290" s="9" t="s">
        <v>55</v>
      </c>
      <c r="M290" s="2" t="n">
        <v>45119</v>
      </c>
    </row>
    <row r="291" customFormat="false" ht="33" hidden="false" customHeight="false" outlineLevel="0" collapsed="false">
      <c r="A291" s="1" t="n">
        <v>2022</v>
      </c>
      <c r="B291" s="1" t="s">
        <v>1034</v>
      </c>
      <c r="C291" s="1" t="s">
        <v>1035</v>
      </c>
      <c r="D291" s="1" t="s">
        <v>1036</v>
      </c>
      <c r="E291" s="5" t="s">
        <v>16</v>
      </c>
      <c r="F291" s="8" t="s">
        <v>1166</v>
      </c>
      <c r="G291" s="7" t="s">
        <v>1167</v>
      </c>
      <c r="H291" s="7" t="s">
        <v>1168</v>
      </c>
      <c r="I291" s="7" t="s">
        <v>1171</v>
      </c>
      <c r="J291" s="8" t="s">
        <v>1172</v>
      </c>
      <c r="K291" s="6" t="s">
        <v>1173</v>
      </c>
      <c r="L291" s="9" t="s">
        <v>23</v>
      </c>
      <c r="M291" s="2" t="n">
        <v>45030</v>
      </c>
    </row>
    <row r="292" customFormat="false" ht="33" hidden="false" customHeight="false" outlineLevel="0" collapsed="false">
      <c r="A292" s="1" t="n">
        <v>2022</v>
      </c>
      <c r="B292" s="1" t="s">
        <v>1034</v>
      </c>
      <c r="C292" s="1" t="s">
        <v>1035</v>
      </c>
      <c r="D292" s="1" t="s">
        <v>1036</v>
      </c>
      <c r="E292" s="5" t="s">
        <v>16</v>
      </c>
      <c r="F292" s="8" t="s">
        <v>1166</v>
      </c>
      <c r="G292" s="7" t="s">
        <v>1167</v>
      </c>
      <c r="H292" s="7" t="s">
        <v>1174</v>
      </c>
      <c r="I292" s="7" t="s">
        <v>1171</v>
      </c>
      <c r="J292" s="8" t="s">
        <v>1175</v>
      </c>
      <c r="K292" s="6" t="s">
        <v>1176</v>
      </c>
      <c r="L292" s="9" t="s">
        <v>23</v>
      </c>
      <c r="M292" s="2" t="n">
        <v>45030</v>
      </c>
    </row>
    <row r="293" customFormat="false" ht="33" hidden="false" customHeight="false" outlineLevel="0" collapsed="false">
      <c r="A293" s="1" t="n">
        <v>2022</v>
      </c>
      <c r="B293" s="1" t="s">
        <v>1034</v>
      </c>
      <c r="C293" s="1" t="s">
        <v>1035</v>
      </c>
      <c r="D293" s="1" t="s">
        <v>1036</v>
      </c>
      <c r="E293" s="5" t="s">
        <v>16</v>
      </c>
      <c r="F293" s="8" t="s">
        <v>1166</v>
      </c>
      <c r="G293" s="7" t="s">
        <v>1167</v>
      </c>
      <c r="H293" s="7" t="s">
        <v>1174</v>
      </c>
      <c r="I293" s="7" t="s">
        <v>1040</v>
      </c>
      <c r="J293" s="8" t="s">
        <v>1177</v>
      </c>
      <c r="K293" s="6" t="s">
        <v>1178</v>
      </c>
      <c r="L293" s="9" t="s">
        <v>827</v>
      </c>
    </row>
    <row r="294" customFormat="false" ht="33" hidden="false" customHeight="false" outlineLevel="0" collapsed="false">
      <c r="A294" s="1" t="n">
        <v>2022</v>
      </c>
      <c r="B294" s="1" t="s">
        <v>1034</v>
      </c>
      <c r="C294" s="1" t="s">
        <v>1035</v>
      </c>
      <c r="D294" s="1" t="s">
        <v>1036</v>
      </c>
      <c r="E294" s="5" t="s">
        <v>16</v>
      </c>
      <c r="F294" s="8" t="s">
        <v>1166</v>
      </c>
      <c r="G294" s="7" t="s">
        <v>1167</v>
      </c>
      <c r="H294" s="7" t="s">
        <v>1174</v>
      </c>
      <c r="I294" s="7" t="s">
        <v>1040</v>
      </c>
      <c r="J294" s="8" t="s">
        <v>1179</v>
      </c>
      <c r="K294" s="6" t="s">
        <v>1180</v>
      </c>
      <c r="L294" s="9" t="s">
        <v>827</v>
      </c>
    </row>
    <row r="295" customFormat="false" ht="41.25" hidden="false" customHeight="false" outlineLevel="0" collapsed="false">
      <c r="A295" s="1" t="n">
        <v>2022</v>
      </c>
      <c r="B295" s="1" t="s">
        <v>1034</v>
      </c>
      <c r="C295" s="1" t="s">
        <v>1035</v>
      </c>
      <c r="D295" s="1" t="s">
        <v>1036</v>
      </c>
      <c r="E295" s="5" t="s">
        <v>16</v>
      </c>
      <c r="F295" s="8" t="s">
        <v>1181</v>
      </c>
      <c r="G295" s="7" t="s">
        <v>1182</v>
      </c>
      <c r="H295" s="7" t="s">
        <v>1183</v>
      </c>
      <c r="I295" s="7" t="s">
        <v>1040</v>
      </c>
      <c r="J295" s="8" t="s">
        <v>1184</v>
      </c>
      <c r="K295" s="6" t="s">
        <v>1185</v>
      </c>
      <c r="L295" s="9" t="s">
        <v>23</v>
      </c>
      <c r="M295" s="2" t="n">
        <v>45119</v>
      </c>
    </row>
    <row r="296" customFormat="false" ht="41.25" hidden="false" customHeight="false" outlineLevel="0" collapsed="false">
      <c r="A296" s="1" t="n">
        <v>2022</v>
      </c>
      <c r="B296" s="1" t="s">
        <v>1034</v>
      </c>
      <c r="C296" s="1" t="s">
        <v>1035</v>
      </c>
      <c r="D296" s="1" t="s">
        <v>1036</v>
      </c>
      <c r="E296" s="5" t="s">
        <v>16</v>
      </c>
      <c r="F296" s="8" t="s">
        <v>1181</v>
      </c>
      <c r="G296" s="7" t="s">
        <v>1182</v>
      </c>
      <c r="H296" s="7" t="s">
        <v>1183</v>
      </c>
      <c r="I296" s="7" t="s">
        <v>1040</v>
      </c>
      <c r="J296" s="8" t="s">
        <v>1186</v>
      </c>
      <c r="K296" s="6" t="s">
        <v>1187</v>
      </c>
      <c r="L296" s="9" t="s">
        <v>23</v>
      </c>
      <c r="M296" s="2" t="n">
        <v>45120</v>
      </c>
    </row>
    <row r="297" customFormat="false" ht="41.25" hidden="false" customHeight="false" outlineLevel="0" collapsed="false">
      <c r="A297" s="1" t="n">
        <v>2022</v>
      </c>
      <c r="B297" s="1" t="s">
        <v>1034</v>
      </c>
      <c r="C297" s="1" t="s">
        <v>1035</v>
      </c>
      <c r="D297" s="1" t="s">
        <v>1036</v>
      </c>
      <c r="E297" s="5" t="s">
        <v>16</v>
      </c>
      <c r="F297" s="8" t="s">
        <v>1181</v>
      </c>
      <c r="G297" s="7" t="s">
        <v>1182</v>
      </c>
      <c r="H297" s="7" t="s">
        <v>1183</v>
      </c>
      <c r="I297" s="7" t="s">
        <v>1040</v>
      </c>
      <c r="J297" s="8" t="s">
        <v>1188</v>
      </c>
      <c r="K297" s="6" t="s">
        <v>1189</v>
      </c>
      <c r="L297" s="9" t="s">
        <v>827</v>
      </c>
    </row>
    <row r="298" customFormat="false" ht="41.25" hidden="false" customHeight="false" outlineLevel="0" collapsed="false">
      <c r="A298" s="1" t="n">
        <v>2022</v>
      </c>
      <c r="B298" s="1" t="s">
        <v>1034</v>
      </c>
      <c r="C298" s="1" t="s">
        <v>1035</v>
      </c>
      <c r="D298" s="1" t="s">
        <v>1036</v>
      </c>
      <c r="E298" s="5" t="s">
        <v>16</v>
      </c>
      <c r="F298" s="8" t="s">
        <v>1181</v>
      </c>
      <c r="G298" s="7" t="s">
        <v>1182</v>
      </c>
      <c r="H298" s="7" t="s">
        <v>1183</v>
      </c>
      <c r="I298" s="7" t="s">
        <v>1040</v>
      </c>
      <c r="J298" s="8" t="s">
        <v>1190</v>
      </c>
      <c r="K298" s="6" t="s">
        <v>1191</v>
      </c>
      <c r="L298" s="9" t="s">
        <v>827</v>
      </c>
    </row>
    <row r="299" customFormat="false" ht="41.25" hidden="false" customHeight="false" outlineLevel="0" collapsed="false">
      <c r="A299" s="1" t="n">
        <v>2022</v>
      </c>
      <c r="B299" s="1" t="s">
        <v>1034</v>
      </c>
      <c r="C299" s="1" t="s">
        <v>1035</v>
      </c>
      <c r="D299" s="1" t="s">
        <v>1036</v>
      </c>
      <c r="E299" s="5" t="s">
        <v>16</v>
      </c>
      <c r="F299" s="8" t="s">
        <v>1181</v>
      </c>
      <c r="G299" s="7" t="s">
        <v>1182</v>
      </c>
      <c r="H299" s="7" t="s">
        <v>1183</v>
      </c>
      <c r="I299" s="7" t="s">
        <v>1040</v>
      </c>
      <c r="J299" s="8" t="s">
        <v>1192</v>
      </c>
      <c r="K299" s="6" t="s">
        <v>1193</v>
      </c>
      <c r="L299" s="9" t="s">
        <v>827</v>
      </c>
    </row>
    <row r="300" customFormat="false" ht="41.25" hidden="false" customHeight="false" outlineLevel="0" collapsed="false">
      <c r="A300" s="1" t="n">
        <v>2022</v>
      </c>
      <c r="B300" s="1" t="s">
        <v>1034</v>
      </c>
      <c r="C300" s="1" t="s">
        <v>1035</v>
      </c>
      <c r="D300" s="1" t="s">
        <v>1036</v>
      </c>
      <c r="E300" s="5" t="s">
        <v>16</v>
      </c>
      <c r="F300" s="8" t="s">
        <v>1181</v>
      </c>
      <c r="G300" s="7" t="s">
        <v>1182</v>
      </c>
      <c r="H300" s="7" t="s">
        <v>1183</v>
      </c>
      <c r="I300" s="7" t="s">
        <v>1040</v>
      </c>
      <c r="J300" s="8" t="s">
        <v>1194</v>
      </c>
      <c r="K300" s="6" t="s">
        <v>1195</v>
      </c>
      <c r="L300" s="9" t="s">
        <v>827</v>
      </c>
    </row>
    <row r="301" customFormat="false" ht="33" hidden="false" customHeight="false" outlineLevel="0" collapsed="false">
      <c r="A301" s="1" t="n">
        <v>2022</v>
      </c>
      <c r="B301" s="1" t="s">
        <v>1034</v>
      </c>
      <c r="C301" s="1" t="s">
        <v>1035</v>
      </c>
      <c r="D301" s="1" t="s">
        <v>1036</v>
      </c>
      <c r="E301" s="5" t="s">
        <v>16</v>
      </c>
      <c r="F301" s="8" t="s">
        <v>1196</v>
      </c>
      <c r="G301" s="7" t="s">
        <v>1197</v>
      </c>
      <c r="H301" s="7" t="s">
        <v>1198</v>
      </c>
      <c r="I301" s="7" t="s">
        <v>1040</v>
      </c>
      <c r="J301" s="8" t="s">
        <v>1199</v>
      </c>
      <c r="K301" s="6" t="s">
        <v>1200</v>
      </c>
      <c r="L301" s="9" t="s">
        <v>55</v>
      </c>
      <c r="M301" s="2" t="n">
        <v>45119</v>
      </c>
    </row>
    <row r="302" customFormat="false" ht="33" hidden="false" customHeight="false" outlineLevel="0" collapsed="false">
      <c r="A302" s="1" t="n">
        <v>2022</v>
      </c>
      <c r="B302" s="1" t="s">
        <v>1034</v>
      </c>
      <c r="C302" s="1" t="s">
        <v>1035</v>
      </c>
      <c r="D302" s="1" t="s">
        <v>1036</v>
      </c>
      <c r="E302" s="5" t="s">
        <v>16</v>
      </c>
      <c r="F302" s="8" t="s">
        <v>1196</v>
      </c>
      <c r="G302" s="7" t="s">
        <v>1197</v>
      </c>
      <c r="H302" s="7" t="s">
        <v>1198</v>
      </c>
      <c r="I302" s="7" t="s">
        <v>1040</v>
      </c>
      <c r="J302" s="8" t="s">
        <v>1201</v>
      </c>
      <c r="K302" s="6" t="s">
        <v>1202</v>
      </c>
      <c r="L302" s="9" t="s">
        <v>23</v>
      </c>
      <c r="M302" s="2" t="n">
        <v>45120</v>
      </c>
    </row>
    <row r="303" customFormat="false" ht="33" hidden="false" customHeight="false" outlineLevel="0" collapsed="false">
      <c r="A303" s="1" t="n">
        <v>2022</v>
      </c>
      <c r="B303" s="1" t="s">
        <v>1034</v>
      </c>
      <c r="C303" s="1" t="s">
        <v>1035</v>
      </c>
      <c r="D303" s="1" t="s">
        <v>1036</v>
      </c>
      <c r="E303" s="5" t="s">
        <v>16</v>
      </c>
      <c r="F303" s="8" t="s">
        <v>1196</v>
      </c>
      <c r="G303" s="7" t="s">
        <v>1197</v>
      </c>
      <c r="H303" s="7" t="s">
        <v>1203</v>
      </c>
      <c r="I303" s="7" t="s">
        <v>1040</v>
      </c>
      <c r="J303" s="8" t="s">
        <v>1204</v>
      </c>
      <c r="K303" s="6" t="s">
        <v>1205</v>
      </c>
      <c r="L303" s="9" t="s">
        <v>55</v>
      </c>
      <c r="M303" s="2" t="n">
        <v>45120</v>
      </c>
    </row>
    <row r="304" customFormat="false" ht="41.25" hidden="false" customHeight="false" outlineLevel="0" collapsed="false">
      <c r="A304" s="1" t="n">
        <v>2022</v>
      </c>
      <c r="B304" s="1" t="s">
        <v>1034</v>
      </c>
      <c r="C304" s="1" t="s">
        <v>1035</v>
      </c>
      <c r="D304" s="1" t="s">
        <v>1036</v>
      </c>
      <c r="E304" s="5" t="s">
        <v>16</v>
      </c>
      <c r="F304" s="8" t="s">
        <v>1196</v>
      </c>
      <c r="G304" s="7" t="s">
        <v>1197</v>
      </c>
      <c r="H304" s="7" t="s">
        <v>1206</v>
      </c>
      <c r="I304" s="7" t="s">
        <v>1040</v>
      </c>
      <c r="J304" s="8" t="s">
        <v>1207</v>
      </c>
      <c r="K304" s="6" t="s">
        <v>1208</v>
      </c>
      <c r="L304" s="9" t="s">
        <v>23</v>
      </c>
      <c r="M304" s="2" t="n">
        <v>45120</v>
      </c>
    </row>
    <row r="305" customFormat="false" ht="41.25" hidden="false" customHeight="false" outlineLevel="0" collapsed="false">
      <c r="A305" s="1" t="n">
        <v>2022</v>
      </c>
      <c r="B305" s="1" t="s">
        <v>1034</v>
      </c>
      <c r="C305" s="1" t="s">
        <v>1035</v>
      </c>
      <c r="D305" s="1" t="s">
        <v>1036</v>
      </c>
      <c r="E305" s="5" t="s">
        <v>16</v>
      </c>
      <c r="F305" s="8" t="s">
        <v>1196</v>
      </c>
      <c r="G305" s="7" t="s">
        <v>1197</v>
      </c>
      <c r="H305" s="7" t="s">
        <v>1206</v>
      </c>
      <c r="I305" s="7" t="s">
        <v>1040</v>
      </c>
      <c r="J305" s="8" t="s">
        <v>1209</v>
      </c>
      <c r="K305" s="6" t="s">
        <v>1210</v>
      </c>
      <c r="L305" s="9" t="s">
        <v>827</v>
      </c>
    </row>
    <row r="306" customFormat="false" ht="41.25" hidden="false" customHeight="false" outlineLevel="0" collapsed="false">
      <c r="A306" s="1" t="n">
        <v>2022</v>
      </c>
      <c r="B306" s="1" t="s">
        <v>1034</v>
      </c>
      <c r="C306" s="1" t="s">
        <v>1035</v>
      </c>
      <c r="D306" s="1" t="s">
        <v>1036</v>
      </c>
      <c r="E306" s="5" t="s">
        <v>16</v>
      </c>
      <c r="F306" s="8" t="s">
        <v>1196</v>
      </c>
      <c r="G306" s="7" t="s">
        <v>1197</v>
      </c>
      <c r="H306" s="7" t="s">
        <v>1206</v>
      </c>
      <c r="I306" s="7" t="s">
        <v>1040</v>
      </c>
      <c r="J306" s="8" t="s">
        <v>1211</v>
      </c>
      <c r="K306" s="6" t="s">
        <v>1212</v>
      </c>
      <c r="L306" s="9" t="s">
        <v>827</v>
      </c>
    </row>
    <row r="307" customFormat="false" ht="41.25" hidden="false" customHeight="false" outlineLevel="0" collapsed="false">
      <c r="A307" s="1" t="n">
        <v>2022</v>
      </c>
      <c r="B307" s="1" t="s">
        <v>1034</v>
      </c>
      <c r="C307" s="1" t="s">
        <v>1035</v>
      </c>
      <c r="D307" s="1" t="s">
        <v>1036</v>
      </c>
      <c r="E307" s="5" t="s">
        <v>16</v>
      </c>
      <c r="F307" s="8" t="s">
        <v>1196</v>
      </c>
      <c r="G307" s="7" t="s">
        <v>1197</v>
      </c>
      <c r="H307" s="7" t="s">
        <v>1206</v>
      </c>
      <c r="I307" s="7" t="s">
        <v>1040</v>
      </c>
      <c r="J307" s="8" t="s">
        <v>1213</v>
      </c>
      <c r="K307" s="6" t="s">
        <v>1214</v>
      </c>
      <c r="L307" s="9" t="s">
        <v>827</v>
      </c>
    </row>
    <row r="308" customFormat="false" ht="33" hidden="false" customHeight="false" outlineLevel="0" collapsed="false">
      <c r="A308" s="1" t="n">
        <v>2022</v>
      </c>
      <c r="B308" s="1" t="s">
        <v>1034</v>
      </c>
      <c r="C308" s="1" t="s">
        <v>1035</v>
      </c>
      <c r="D308" s="1" t="s">
        <v>1036</v>
      </c>
      <c r="E308" s="5" t="s">
        <v>16</v>
      </c>
      <c r="F308" s="8" t="s">
        <v>1215</v>
      </c>
      <c r="G308" s="7" t="s">
        <v>1216</v>
      </c>
      <c r="H308" s="7" t="s">
        <v>1217</v>
      </c>
      <c r="I308" s="7" t="s">
        <v>1040</v>
      </c>
      <c r="J308" s="8" t="s">
        <v>1218</v>
      </c>
      <c r="K308" s="6" t="s">
        <v>1219</v>
      </c>
      <c r="L308" s="9" t="s">
        <v>23</v>
      </c>
      <c r="M308" s="2" t="n">
        <v>45030</v>
      </c>
    </row>
    <row r="309" customFormat="false" ht="33" hidden="false" customHeight="false" outlineLevel="0" collapsed="false">
      <c r="A309" s="1" t="n">
        <v>2022</v>
      </c>
      <c r="B309" s="1" t="s">
        <v>1034</v>
      </c>
      <c r="C309" s="1" t="s">
        <v>1035</v>
      </c>
      <c r="D309" s="1" t="s">
        <v>1036</v>
      </c>
      <c r="E309" s="5" t="s">
        <v>16</v>
      </c>
      <c r="F309" s="8" t="s">
        <v>1215</v>
      </c>
      <c r="G309" s="7" t="s">
        <v>1216</v>
      </c>
      <c r="H309" s="7" t="s">
        <v>1220</v>
      </c>
      <c r="I309" s="7" t="s">
        <v>1040</v>
      </c>
      <c r="J309" s="8" t="s">
        <v>1221</v>
      </c>
      <c r="K309" s="6" t="s">
        <v>1222</v>
      </c>
      <c r="L309" s="9" t="s">
        <v>55</v>
      </c>
      <c r="M309" s="2" t="n">
        <v>45120</v>
      </c>
    </row>
    <row r="310" customFormat="false" ht="33" hidden="false" customHeight="false" outlineLevel="0" collapsed="false">
      <c r="A310" s="1" t="n">
        <v>2022</v>
      </c>
      <c r="B310" s="1" t="s">
        <v>1034</v>
      </c>
      <c r="C310" s="1" t="s">
        <v>1035</v>
      </c>
      <c r="D310" s="1" t="s">
        <v>1036</v>
      </c>
      <c r="E310" s="5" t="s">
        <v>16</v>
      </c>
      <c r="F310" s="8" t="s">
        <v>1215</v>
      </c>
      <c r="G310" s="7" t="s">
        <v>1216</v>
      </c>
      <c r="H310" s="7" t="s">
        <v>1220</v>
      </c>
      <c r="I310" s="7" t="s">
        <v>1040</v>
      </c>
      <c r="J310" s="8" t="s">
        <v>1223</v>
      </c>
      <c r="K310" s="6" t="s">
        <v>1224</v>
      </c>
      <c r="L310" s="9" t="s">
        <v>827</v>
      </c>
    </row>
    <row r="311" customFormat="false" ht="33" hidden="false" customHeight="false" outlineLevel="0" collapsed="false">
      <c r="A311" s="1" t="n">
        <v>2022</v>
      </c>
      <c r="B311" s="1" t="s">
        <v>1034</v>
      </c>
      <c r="C311" s="1" t="s">
        <v>1035</v>
      </c>
      <c r="D311" s="1" t="s">
        <v>1036</v>
      </c>
      <c r="E311" s="5" t="s">
        <v>16</v>
      </c>
      <c r="F311" s="8" t="s">
        <v>1215</v>
      </c>
      <c r="G311" s="7" t="s">
        <v>1216</v>
      </c>
      <c r="H311" s="7" t="s">
        <v>1220</v>
      </c>
      <c r="I311" s="7" t="s">
        <v>1040</v>
      </c>
      <c r="J311" s="8" t="s">
        <v>1225</v>
      </c>
      <c r="K311" s="6" t="s">
        <v>1226</v>
      </c>
      <c r="L311" s="9" t="s">
        <v>827</v>
      </c>
    </row>
    <row r="312" customFormat="false" ht="33" hidden="false" customHeight="false" outlineLevel="0" collapsed="false">
      <c r="A312" s="1" t="n">
        <v>2022</v>
      </c>
      <c r="B312" s="1" t="s">
        <v>1034</v>
      </c>
      <c r="C312" s="1" t="s">
        <v>1035</v>
      </c>
      <c r="D312" s="1" t="s">
        <v>1036</v>
      </c>
      <c r="E312" s="5" t="s">
        <v>16</v>
      </c>
      <c r="F312" s="8" t="s">
        <v>1227</v>
      </c>
      <c r="G312" s="7" t="s">
        <v>1228</v>
      </c>
      <c r="H312" s="7" t="s">
        <v>1229</v>
      </c>
      <c r="I312" s="7" t="s">
        <v>1040</v>
      </c>
      <c r="J312" s="8" t="s">
        <v>1230</v>
      </c>
      <c r="K312" s="6" t="s">
        <v>1231</v>
      </c>
      <c r="L312" s="9" t="s">
        <v>23</v>
      </c>
      <c r="M312" s="2" t="n">
        <v>45030</v>
      </c>
    </row>
    <row r="313" customFormat="false" ht="33" hidden="false" customHeight="false" outlineLevel="0" collapsed="false">
      <c r="A313" s="1" t="n">
        <v>2022</v>
      </c>
      <c r="B313" s="1" t="s">
        <v>1034</v>
      </c>
      <c r="C313" s="1" t="s">
        <v>1035</v>
      </c>
      <c r="D313" s="1" t="s">
        <v>1036</v>
      </c>
      <c r="E313" s="5" t="s">
        <v>16</v>
      </c>
      <c r="F313" s="8" t="s">
        <v>1227</v>
      </c>
      <c r="G313" s="7" t="s">
        <v>1228</v>
      </c>
      <c r="H313" s="7" t="s">
        <v>1232</v>
      </c>
      <c r="I313" s="7" t="s">
        <v>1040</v>
      </c>
      <c r="J313" s="8" t="s">
        <v>1233</v>
      </c>
      <c r="K313" s="6" t="s">
        <v>1234</v>
      </c>
      <c r="L313" s="9" t="s">
        <v>827</v>
      </c>
    </row>
    <row r="314" customFormat="false" ht="36" hidden="false" customHeight="false" outlineLevel="0" collapsed="false">
      <c r="A314" s="1" t="n">
        <v>2022</v>
      </c>
      <c r="B314" s="1" t="s">
        <v>1034</v>
      </c>
      <c r="C314" s="1" t="s">
        <v>1035</v>
      </c>
      <c r="D314" s="1" t="s">
        <v>1036</v>
      </c>
      <c r="E314" s="5" t="s">
        <v>16</v>
      </c>
      <c r="F314" s="8" t="s">
        <v>1227</v>
      </c>
      <c r="G314" s="7" t="s">
        <v>1228</v>
      </c>
      <c r="H314" s="7" t="s">
        <v>1232</v>
      </c>
      <c r="I314" s="7" t="s">
        <v>1040</v>
      </c>
      <c r="J314" s="8" t="s">
        <v>1235</v>
      </c>
      <c r="K314" s="6" t="s">
        <v>1236</v>
      </c>
      <c r="L314" s="9" t="s">
        <v>827</v>
      </c>
    </row>
    <row r="315" customFormat="false" ht="33" hidden="false" customHeight="false" outlineLevel="0" collapsed="false">
      <c r="A315" s="1" t="n">
        <v>2022</v>
      </c>
      <c r="B315" s="1" t="s">
        <v>1034</v>
      </c>
      <c r="C315" s="1" t="s">
        <v>1035</v>
      </c>
      <c r="D315" s="1" t="s">
        <v>1036</v>
      </c>
      <c r="E315" s="5" t="s">
        <v>16</v>
      </c>
      <c r="F315" s="8" t="s">
        <v>1227</v>
      </c>
      <c r="G315" s="7" t="s">
        <v>1228</v>
      </c>
      <c r="H315" s="7" t="s">
        <v>1232</v>
      </c>
      <c r="I315" s="7" t="s">
        <v>1040</v>
      </c>
      <c r="J315" s="8" t="s">
        <v>1237</v>
      </c>
      <c r="K315" s="6" t="s">
        <v>1238</v>
      </c>
      <c r="L315" s="9" t="s">
        <v>827</v>
      </c>
    </row>
    <row r="316" customFormat="false" ht="57.75" hidden="false" customHeight="false" outlineLevel="0" collapsed="false">
      <c r="A316" s="1" t="n">
        <v>2022</v>
      </c>
      <c r="B316" s="1" t="s">
        <v>1034</v>
      </c>
      <c r="C316" s="1" t="s">
        <v>1035</v>
      </c>
      <c r="D316" s="1" t="s">
        <v>1036</v>
      </c>
      <c r="E316" s="5" t="s">
        <v>16</v>
      </c>
      <c r="F316" s="8" t="s">
        <v>1239</v>
      </c>
      <c r="G316" s="7" t="s">
        <v>1240</v>
      </c>
      <c r="H316" s="7" t="s">
        <v>1241</v>
      </c>
      <c r="I316" s="7" t="s">
        <v>1242</v>
      </c>
      <c r="J316" s="8" t="s">
        <v>1243</v>
      </c>
      <c r="K316" s="6" t="s">
        <v>1244</v>
      </c>
      <c r="L316" s="9" t="s">
        <v>55</v>
      </c>
      <c r="M316" s="2" t="n">
        <v>45120</v>
      </c>
    </row>
    <row r="317" customFormat="false" ht="57.75" hidden="false" customHeight="false" outlineLevel="0" collapsed="false">
      <c r="A317" s="1" t="n">
        <v>2022</v>
      </c>
      <c r="B317" s="1" t="s">
        <v>1034</v>
      </c>
      <c r="C317" s="1" t="s">
        <v>1035</v>
      </c>
      <c r="D317" s="1" t="s">
        <v>1036</v>
      </c>
      <c r="E317" s="5" t="s">
        <v>16</v>
      </c>
      <c r="F317" s="8" t="s">
        <v>1239</v>
      </c>
      <c r="G317" s="7" t="s">
        <v>1240</v>
      </c>
      <c r="H317" s="7" t="s">
        <v>1241</v>
      </c>
      <c r="I317" s="7" t="s">
        <v>1242</v>
      </c>
      <c r="J317" s="8" t="s">
        <v>1245</v>
      </c>
      <c r="K317" s="6" t="s">
        <v>1246</v>
      </c>
      <c r="L317" s="9" t="s">
        <v>827</v>
      </c>
    </row>
    <row r="318" customFormat="false" ht="57.75" hidden="false" customHeight="false" outlineLevel="0" collapsed="false">
      <c r="A318" s="1" t="n">
        <v>2022</v>
      </c>
      <c r="B318" s="1" t="s">
        <v>1034</v>
      </c>
      <c r="C318" s="1" t="s">
        <v>1035</v>
      </c>
      <c r="D318" s="1" t="s">
        <v>1036</v>
      </c>
      <c r="E318" s="5" t="s">
        <v>16</v>
      </c>
      <c r="F318" s="8" t="s">
        <v>1239</v>
      </c>
      <c r="G318" s="7" t="s">
        <v>1240</v>
      </c>
      <c r="H318" s="7" t="s">
        <v>1241</v>
      </c>
      <c r="I318" s="7" t="s">
        <v>1242</v>
      </c>
      <c r="J318" s="8" t="s">
        <v>1247</v>
      </c>
      <c r="K318" s="6" t="s">
        <v>1248</v>
      </c>
      <c r="L318" s="9" t="s">
        <v>827</v>
      </c>
    </row>
    <row r="319" customFormat="false" ht="57.75" hidden="false" customHeight="false" outlineLevel="0" collapsed="false">
      <c r="A319" s="1" t="n">
        <v>2022</v>
      </c>
      <c r="B319" s="1" t="s">
        <v>1034</v>
      </c>
      <c r="C319" s="1" t="s">
        <v>1035</v>
      </c>
      <c r="D319" s="1" t="s">
        <v>1036</v>
      </c>
      <c r="E319" s="5" t="s">
        <v>16</v>
      </c>
      <c r="F319" s="8" t="s">
        <v>1239</v>
      </c>
      <c r="G319" s="7" t="s">
        <v>1240</v>
      </c>
      <c r="H319" s="7" t="s">
        <v>1241</v>
      </c>
      <c r="I319" s="7" t="s">
        <v>1242</v>
      </c>
      <c r="J319" s="8" t="s">
        <v>1249</v>
      </c>
      <c r="K319" s="6" t="s">
        <v>1250</v>
      </c>
      <c r="L319" s="9" t="s">
        <v>827</v>
      </c>
    </row>
    <row r="320" customFormat="false" ht="57.75" hidden="false" customHeight="false" outlineLevel="0" collapsed="false">
      <c r="A320" s="1" t="n">
        <v>2022</v>
      </c>
      <c r="B320" s="1" t="s">
        <v>1034</v>
      </c>
      <c r="C320" s="1" t="s">
        <v>1035</v>
      </c>
      <c r="D320" s="1" t="s">
        <v>1036</v>
      </c>
      <c r="E320" s="5" t="s">
        <v>16</v>
      </c>
      <c r="F320" s="8" t="s">
        <v>1239</v>
      </c>
      <c r="G320" s="7" t="s">
        <v>1240</v>
      </c>
      <c r="H320" s="7" t="s">
        <v>1241</v>
      </c>
      <c r="I320" s="7" t="s">
        <v>1242</v>
      </c>
      <c r="J320" s="8" t="s">
        <v>1251</v>
      </c>
      <c r="K320" s="6" t="s">
        <v>1252</v>
      </c>
      <c r="L320" s="9" t="s">
        <v>827</v>
      </c>
    </row>
    <row r="321" customFormat="false" ht="57.75" hidden="false" customHeight="false" outlineLevel="0" collapsed="false">
      <c r="A321" s="1" t="n">
        <v>2022</v>
      </c>
      <c r="B321" s="1" t="s">
        <v>1034</v>
      </c>
      <c r="C321" s="1" t="s">
        <v>1035</v>
      </c>
      <c r="D321" s="1" t="s">
        <v>1036</v>
      </c>
      <c r="E321" s="5" t="s">
        <v>16</v>
      </c>
      <c r="F321" s="8" t="s">
        <v>1239</v>
      </c>
      <c r="G321" s="7" t="s">
        <v>1240</v>
      </c>
      <c r="H321" s="7" t="s">
        <v>1241</v>
      </c>
      <c r="I321" s="7" t="s">
        <v>1242</v>
      </c>
      <c r="J321" s="8" t="s">
        <v>1253</v>
      </c>
      <c r="K321" s="6" t="s">
        <v>1254</v>
      </c>
      <c r="L321" s="9" t="s">
        <v>827</v>
      </c>
    </row>
    <row r="322" customFormat="false" ht="27" hidden="false" customHeight="false" outlineLevel="0" collapsed="false">
      <c r="A322" s="1" t="n">
        <v>2022</v>
      </c>
      <c r="B322" s="1" t="s">
        <v>1255</v>
      </c>
      <c r="C322" s="1" t="s">
        <v>1256</v>
      </c>
      <c r="D322" s="1" t="s">
        <v>1036</v>
      </c>
      <c r="E322" s="5" t="s">
        <v>16</v>
      </c>
      <c r="F322" s="8" t="s">
        <v>1257</v>
      </c>
      <c r="G322" s="10" t="s">
        <v>1258</v>
      </c>
      <c r="H322" s="10" t="s">
        <v>1259</v>
      </c>
      <c r="I322" s="7" t="s">
        <v>1260</v>
      </c>
      <c r="J322" s="8" t="s">
        <v>1261</v>
      </c>
      <c r="K322" s="6" t="s">
        <v>1262</v>
      </c>
      <c r="L322" s="9" t="s">
        <v>23</v>
      </c>
      <c r="M322" s="2" t="n">
        <v>45029</v>
      </c>
    </row>
    <row r="323" customFormat="false" ht="24.75" hidden="false" customHeight="false" outlineLevel="0" collapsed="false">
      <c r="A323" s="1" t="n">
        <v>2022</v>
      </c>
      <c r="B323" s="1" t="s">
        <v>1255</v>
      </c>
      <c r="C323" s="1" t="s">
        <v>1256</v>
      </c>
      <c r="D323" s="1" t="s">
        <v>1036</v>
      </c>
      <c r="E323" s="5" t="s">
        <v>16</v>
      </c>
      <c r="F323" s="8" t="s">
        <v>1257</v>
      </c>
      <c r="G323" s="10" t="s">
        <v>1258</v>
      </c>
      <c r="H323" s="10" t="s">
        <v>1259</v>
      </c>
      <c r="I323" s="7" t="s">
        <v>1263</v>
      </c>
      <c r="J323" s="8" t="s">
        <v>1264</v>
      </c>
      <c r="K323" s="6" t="s">
        <v>1265</v>
      </c>
      <c r="L323" s="9" t="s">
        <v>1266</v>
      </c>
      <c r="M323" s="2" t="n">
        <v>45114</v>
      </c>
    </row>
    <row r="324" customFormat="false" ht="24.75" hidden="false" customHeight="false" outlineLevel="0" collapsed="false">
      <c r="A324" s="1" t="n">
        <v>2022</v>
      </c>
      <c r="B324" s="1" t="s">
        <v>1255</v>
      </c>
      <c r="C324" s="1" t="s">
        <v>1256</v>
      </c>
      <c r="D324" s="1" t="s">
        <v>1036</v>
      </c>
      <c r="E324" s="5" t="s">
        <v>16</v>
      </c>
      <c r="F324" s="8" t="s">
        <v>1257</v>
      </c>
      <c r="G324" s="10" t="s">
        <v>1258</v>
      </c>
      <c r="H324" s="10" t="s">
        <v>1259</v>
      </c>
      <c r="I324" s="7" t="s">
        <v>1260</v>
      </c>
      <c r="J324" s="8" t="s">
        <v>1267</v>
      </c>
      <c r="K324" s="6" t="s">
        <v>1268</v>
      </c>
      <c r="L324" s="9" t="s">
        <v>1266</v>
      </c>
      <c r="M324" s="2" t="n">
        <v>45114</v>
      </c>
    </row>
    <row r="325" customFormat="false" ht="24.75" hidden="false" customHeight="false" outlineLevel="0" collapsed="false">
      <c r="A325" s="1" t="n">
        <v>2022</v>
      </c>
      <c r="B325" s="1" t="s">
        <v>1255</v>
      </c>
      <c r="C325" s="1" t="s">
        <v>1256</v>
      </c>
      <c r="D325" s="1" t="s">
        <v>1036</v>
      </c>
      <c r="E325" s="5" t="s">
        <v>16</v>
      </c>
      <c r="F325" s="8" t="s">
        <v>1257</v>
      </c>
      <c r="G325" s="10" t="s">
        <v>1258</v>
      </c>
      <c r="H325" s="10" t="s">
        <v>1259</v>
      </c>
      <c r="I325" s="7" t="s">
        <v>1260</v>
      </c>
      <c r="J325" s="8" t="s">
        <v>1269</v>
      </c>
      <c r="K325" s="6" t="s">
        <v>1270</v>
      </c>
      <c r="L325" s="9" t="s">
        <v>1266</v>
      </c>
      <c r="M325" s="2" t="n">
        <v>45114</v>
      </c>
    </row>
    <row r="326" customFormat="false" ht="82.5" hidden="false" customHeight="false" outlineLevel="0" collapsed="false">
      <c r="A326" s="1" t="n">
        <v>2022</v>
      </c>
      <c r="B326" s="1" t="s">
        <v>1271</v>
      </c>
      <c r="C326" s="1" t="s">
        <v>1272</v>
      </c>
      <c r="D326" s="1" t="s">
        <v>1273</v>
      </c>
      <c r="E326" s="5" t="s">
        <v>16</v>
      </c>
      <c r="F326" s="8" t="s">
        <v>1274</v>
      </c>
      <c r="G326" s="10" t="s">
        <v>1275</v>
      </c>
      <c r="H326" s="10" t="s">
        <v>1276</v>
      </c>
      <c r="I326" s="7" t="s">
        <v>1277</v>
      </c>
      <c r="J326" s="8" t="s">
        <v>1278</v>
      </c>
      <c r="K326" s="6" t="s">
        <v>1279</v>
      </c>
      <c r="L326" s="9" t="s">
        <v>23</v>
      </c>
      <c r="M326" s="2" t="n">
        <v>45030</v>
      </c>
    </row>
    <row r="327" customFormat="false" ht="82.5" hidden="false" customHeight="false" outlineLevel="0" collapsed="false">
      <c r="A327" s="1" t="n">
        <v>2022</v>
      </c>
      <c r="B327" s="1" t="s">
        <v>1271</v>
      </c>
      <c r="C327" s="1" t="s">
        <v>1272</v>
      </c>
      <c r="D327" s="1" t="s">
        <v>1273</v>
      </c>
      <c r="E327" s="5" t="s">
        <v>16</v>
      </c>
      <c r="F327" s="8" t="s">
        <v>1274</v>
      </c>
      <c r="G327" s="10" t="s">
        <v>1275</v>
      </c>
      <c r="H327" s="10" t="s">
        <v>1276</v>
      </c>
      <c r="I327" s="7" t="s">
        <v>1280</v>
      </c>
      <c r="J327" s="8" t="s">
        <v>1281</v>
      </c>
      <c r="K327" s="6" t="s">
        <v>1282</v>
      </c>
      <c r="L327" s="9" t="s">
        <v>23</v>
      </c>
      <c r="M327" s="2" t="n">
        <v>45030</v>
      </c>
    </row>
    <row r="328" customFormat="false" ht="82.5" hidden="false" customHeight="false" outlineLevel="0" collapsed="false">
      <c r="A328" s="1" t="n">
        <v>2022</v>
      </c>
      <c r="B328" s="1" t="s">
        <v>1271</v>
      </c>
      <c r="C328" s="1" t="s">
        <v>1272</v>
      </c>
      <c r="D328" s="1" t="s">
        <v>1273</v>
      </c>
      <c r="E328" s="5" t="s">
        <v>16</v>
      </c>
      <c r="F328" s="8" t="s">
        <v>1274</v>
      </c>
      <c r="G328" s="10" t="s">
        <v>1275</v>
      </c>
      <c r="H328" s="10" t="s">
        <v>1276</v>
      </c>
      <c r="I328" s="7" t="s">
        <v>1277</v>
      </c>
      <c r="J328" s="8" t="s">
        <v>1283</v>
      </c>
      <c r="K328" s="6" t="s">
        <v>1284</v>
      </c>
      <c r="L328" s="9" t="s">
        <v>23</v>
      </c>
      <c r="M328" s="2" t="n">
        <v>45033</v>
      </c>
    </row>
    <row r="329" customFormat="false" ht="82.5" hidden="false" customHeight="false" outlineLevel="0" collapsed="false">
      <c r="A329" s="1" t="n">
        <v>2022</v>
      </c>
      <c r="B329" s="1" t="s">
        <v>1271</v>
      </c>
      <c r="C329" s="1" t="s">
        <v>1272</v>
      </c>
      <c r="D329" s="1" t="s">
        <v>1273</v>
      </c>
      <c r="E329" s="5" t="s">
        <v>16</v>
      </c>
      <c r="F329" s="8" t="s">
        <v>1274</v>
      </c>
      <c r="G329" s="10" t="s">
        <v>1275</v>
      </c>
      <c r="H329" s="10" t="s">
        <v>1276</v>
      </c>
      <c r="I329" s="7" t="s">
        <v>1277</v>
      </c>
      <c r="J329" s="8" t="s">
        <v>1285</v>
      </c>
      <c r="K329" s="6" t="s">
        <v>1286</v>
      </c>
      <c r="L329" s="9" t="s">
        <v>55</v>
      </c>
      <c r="M329" s="2" t="n">
        <v>45121</v>
      </c>
    </row>
    <row r="330" customFormat="false" ht="74.25" hidden="false" customHeight="false" outlineLevel="0" collapsed="false">
      <c r="A330" s="1" t="n">
        <v>2022</v>
      </c>
      <c r="B330" s="1" t="s">
        <v>1271</v>
      </c>
      <c r="C330" s="1" t="s">
        <v>1272</v>
      </c>
      <c r="D330" s="1" t="s">
        <v>1273</v>
      </c>
      <c r="E330" s="5" t="s">
        <v>16</v>
      </c>
      <c r="F330" s="8" t="s">
        <v>1287</v>
      </c>
      <c r="G330" s="10" t="s">
        <v>1288</v>
      </c>
      <c r="H330" s="10" t="s">
        <v>1289</v>
      </c>
      <c r="I330" s="7" t="s">
        <v>1277</v>
      </c>
      <c r="J330" s="8" t="s">
        <v>1290</v>
      </c>
      <c r="K330" s="6" t="s">
        <v>1291</v>
      </c>
      <c r="L330" s="9" t="s">
        <v>23</v>
      </c>
      <c r="M330" s="2" t="n">
        <v>45030</v>
      </c>
    </row>
    <row r="331" customFormat="false" ht="74.25" hidden="false" customHeight="false" outlineLevel="0" collapsed="false">
      <c r="A331" s="1" t="n">
        <v>2022</v>
      </c>
      <c r="B331" s="1" t="s">
        <v>1271</v>
      </c>
      <c r="C331" s="1" t="s">
        <v>1272</v>
      </c>
      <c r="D331" s="1" t="s">
        <v>1273</v>
      </c>
      <c r="E331" s="5" t="s">
        <v>16</v>
      </c>
      <c r="F331" s="8" t="s">
        <v>1287</v>
      </c>
      <c r="G331" s="10" t="s">
        <v>1288</v>
      </c>
      <c r="H331" s="10" t="s">
        <v>1289</v>
      </c>
      <c r="I331" s="7" t="s">
        <v>1280</v>
      </c>
      <c r="J331" s="8" t="s">
        <v>1292</v>
      </c>
      <c r="K331" s="6" t="s">
        <v>1293</v>
      </c>
      <c r="L331" s="9" t="s">
        <v>23</v>
      </c>
      <c r="M331" s="2" t="n">
        <v>45030</v>
      </c>
    </row>
    <row r="332" customFormat="false" ht="74.25" hidden="false" customHeight="false" outlineLevel="0" collapsed="false">
      <c r="A332" s="1" t="n">
        <v>2022</v>
      </c>
      <c r="B332" s="1" t="s">
        <v>1271</v>
      </c>
      <c r="C332" s="1" t="s">
        <v>1272</v>
      </c>
      <c r="D332" s="1" t="s">
        <v>1273</v>
      </c>
      <c r="E332" s="5" t="s">
        <v>16</v>
      </c>
      <c r="F332" s="8" t="s">
        <v>1287</v>
      </c>
      <c r="G332" s="10" t="s">
        <v>1288</v>
      </c>
      <c r="H332" s="10" t="s">
        <v>1289</v>
      </c>
      <c r="I332" s="7" t="s">
        <v>1277</v>
      </c>
      <c r="J332" s="8" t="s">
        <v>1294</v>
      </c>
      <c r="K332" s="6" t="s">
        <v>1295</v>
      </c>
      <c r="L332" s="9" t="s">
        <v>55</v>
      </c>
      <c r="M332" s="2" t="n">
        <v>45121</v>
      </c>
    </row>
    <row r="333" customFormat="false" ht="74.25" hidden="false" customHeight="false" outlineLevel="0" collapsed="false">
      <c r="A333" s="1" t="n">
        <v>2022</v>
      </c>
      <c r="B333" s="1" t="s">
        <v>1271</v>
      </c>
      <c r="C333" s="1" t="s">
        <v>1272</v>
      </c>
      <c r="D333" s="1" t="s">
        <v>1273</v>
      </c>
      <c r="E333" s="5" t="s">
        <v>16</v>
      </c>
      <c r="F333" s="8" t="s">
        <v>1287</v>
      </c>
      <c r="G333" s="10" t="s">
        <v>1288</v>
      </c>
      <c r="H333" s="10" t="s">
        <v>1289</v>
      </c>
      <c r="I333" s="7" t="s">
        <v>1277</v>
      </c>
      <c r="J333" s="8" t="s">
        <v>1296</v>
      </c>
      <c r="K333" s="6" t="s">
        <v>1297</v>
      </c>
      <c r="L333" s="9" t="s">
        <v>55</v>
      </c>
      <c r="M333" s="2" t="n">
        <v>45121</v>
      </c>
    </row>
    <row r="334" customFormat="false" ht="57.75" hidden="false" customHeight="false" outlineLevel="0" collapsed="false">
      <c r="A334" s="1" t="n">
        <v>2022</v>
      </c>
      <c r="B334" s="1" t="s">
        <v>1271</v>
      </c>
      <c r="C334" s="1" t="s">
        <v>1272</v>
      </c>
      <c r="D334" s="1" t="s">
        <v>1273</v>
      </c>
      <c r="E334" s="5" t="s">
        <v>16</v>
      </c>
      <c r="F334" s="8" t="s">
        <v>1298</v>
      </c>
      <c r="G334" s="10" t="s">
        <v>1299</v>
      </c>
      <c r="H334" s="10" t="s">
        <v>1300</v>
      </c>
      <c r="I334" s="7" t="s">
        <v>1277</v>
      </c>
      <c r="J334" s="8" t="s">
        <v>1301</v>
      </c>
      <c r="K334" s="6" t="s">
        <v>1302</v>
      </c>
      <c r="L334" s="9" t="s">
        <v>23</v>
      </c>
      <c r="M334" s="2" t="n">
        <v>45030</v>
      </c>
    </row>
    <row r="335" customFormat="false" ht="57.75" hidden="false" customHeight="false" outlineLevel="0" collapsed="false">
      <c r="A335" s="1" t="n">
        <v>2022</v>
      </c>
      <c r="B335" s="1" t="s">
        <v>1271</v>
      </c>
      <c r="C335" s="1" t="s">
        <v>1272</v>
      </c>
      <c r="D335" s="1" t="s">
        <v>1273</v>
      </c>
      <c r="E335" s="5" t="s">
        <v>16</v>
      </c>
      <c r="F335" s="8" t="s">
        <v>1298</v>
      </c>
      <c r="G335" s="10" t="s">
        <v>1299</v>
      </c>
      <c r="H335" s="10" t="s">
        <v>1300</v>
      </c>
      <c r="I335" s="7" t="s">
        <v>1277</v>
      </c>
      <c r="J335" s="8" t="s">
        <v>1303</v>
      </c>
      <c r="K335" s="6" t="s">
        <v>1304</v>
      </c>
      <c r="L335" s="9" t="s">
        <v>55</v>
      </c>
      <c r="M335" s="2" t="n">
        <v>45121</v>
      </c>
    </row>
    <row r="336" customFormat="false" ht="57.75" hidden="false" customHeight="false" outlineLevel="0" collapsed="false">
      <c r="A336" s="1" t="n">
        <v>2022</v>
      </c>
      <c r="B336" s="1" t="s">
        <v>1271</v>
      </c>
      <c r="C336" s="1" t="s">
        <v>1272</v>
      </c>
      <c r="D336" s="1" t="s">
        <v>1273</v>
      </c>
      <c r="E336" s="5" t="s">
        <v>16</v>
      </c>
      <c r="F336" s="8" t="s">
        <v>1298</v>
      </c>
      <c r="G336" s="10" t="s">
        <v>1299</v>
      </c>
      <c r="H336" s="10" t="s">
        <v>1300</v>
      </c>
      <c r="I336" s="7" t="s">
        <v>1305</v>
      </c>
      <c r="J336" s="8" t="s">
        <v>1306</v>
      </c>
      <c r="K336" s="6" t="s">
        <v>1307</v>
      </c>
      <c r="L336" s="9" t="s">
        <v>23</v>
      </c>
      <c r="M336" s="2" t="n">
        <v>45030</v>
      </c>
    </row>
    <row r="337" customFormat="false" ht="57.75" hidden="false" customHeight="false" outlineLevel="0" collapsed="false">
      <c r="A337" s="1" t="n">
        <v>2022</v>
      </c>
      <c r="B337" s="1" t="s">
        <v>1271</v>
      </c>
      <c r="C337" s="1" t="s">
        <v>1272</v>
      </c>
      <c r="D337" s="1" t="s">
        <v>1273</v>
      </c>
      <c r="E337" s="5" t="s">
        <v>16</v>
      </c>
      <c r="F337" s="8" t="s">
        <v>1298</v>
      </c>
      <c r="G337" s="10" t="s">
        <v>1299</v>
      </c>
      <c r="H337" s="10" t="s">
        <v>1300</v>
      </c>
      <c r="I337" s="7" t="s">
        <v>1308</v>
      </c>
      <c r="J337" s="8" t="s">
        <v>1309</v>
      </c>
      <c r="K337" s="6" t="s">
        <v>1310</v>
      </c>
      <c r="L337" s="9" t="s">
        <v>827</v>
      </c>
    </row>
    <row r="338" customFormat="false" ht="57.75" hidden="false" customHeight="false" outlineLevel="0" collapsed="false">
      <c r="A338" s="1" t="n">
        <v>2022</v>
      </c>
      <c r="B338" s="1" t="s">
        <v>1271</v>
      </c>
      <c r="C338" s="1" t="s">
        <v>1272</v>
      </c>
      <c r="D338" s="1" t="s">
        <v>1273</v>
      </c>
      <c r="E338" s="5" t="s">
        <v>16</v>
      </c>
      <c r="F338" s="8" t="s">
        <v>1311</v>
      </c>
      <c r="G338" s="10" t="s">
        <v>1312</v>
      </c>
      <c r="H338" s="10" t="s">
        <v>1313</v>
      </c>
      <c r="I338" s="7" t="s">
        <v>1314</v>
      </c>
      <c r="J338" s="8" t="s">
        <v>1315</v>
      </c>
      <c r="K338" s="6" t="s">
        <v>1316</v>
      </c>
      <c r="L338" s="9" t="s">
        <v>23</v>
      </c>
      <c r="M338" s="2" t="n">
        <v>45030</v>
      </c>
    </row>
    <row r="339" customFormat="false" ht="57.75" hidden="false" customHeight="false" outlineLevel="0" collapsed="false">
      <c r="A339" s="1" t="n">
        <v>2022</v>
      </c>
      <c r="B339" s="1" t="s">
        <v>1271</v>
      </c>
      <c r="C339" s="1" t="s">
        <v>1272</v>
      </c>
      <c r="D339" s="1" t="s">
        <v>1273</v>
      </c>
      <c r="E339" s="5" t="s">
        <v>16</v>
      </c>
      <c r="F339" s="8" t="s">
        <v>1311</v>
      </c>
      <c r="G339" s="10" t="s">
        <v>1312</v>
      </c>
      <c r="H339" s="10" t="s">
        <v>1313</v>
      </c>
      <c r="I339" s="7" t="s">
        <v>1314</v>
      </c>
      <c r="J339" s="8" t="s">
        <v>1317</v>
      </c>
      <c r="K339" s="6" t="s">
        <v>1318</v>
      </c>
      <c r="L339" s="9" t="s">
        <v>23</v>
      </c>
      <c r="M339" s="2" t="n">
        <v>45030</v>
      </c>
    </row>
    <row r="340" customFormat="false" ht="57.75" hidden="false" customHeight="false" outlineLevel="0" collapsed="false">
      <c r="A340" s="1" t="n">
        <v>2022</v>
      </c>
      <c r="B340" s="1" t="s">
        <v>1271</v>
      </c>
      <c r="C340" s="1" t="s">
        <v>1272</v>
      </c>
      <c r="D340" s="1" t="s">
        <v>1273</v>
      </c>
      <c r="E340" s="5" t="s">
        <v>16</v>
      </c>
      <c r="F340" s="8" t="s">
        <v>1311</v>
      </c>
      <c r="G340" s="10" t="s">
        <v>1312</v>
      </c>
      <c r="H340" s="10" t="s">
        <v>1313</v>
      </c>
      <c r="I340" s="7" t="s">
        <v>1314</v>
      </c>
      <c r="J340" s="8" t="s">
        <v>1319</v>
      </c>
      <c r="K340" s="6" t="s">
        <v>1320</v>
      </c>
      <c r="L340" s="9" t="s">
        <v>23</v>
      </c>
      <c r="M340" s="2" t="n">
        <v>45030</v>
      </c>
    </row>
    <row r="341" customFormat="false" ht="57.75" hidden="false" customHeight="false" outlineLevel="0" collapsed="false">
      <c r="A341" s="1" t="n">
        <v>2022</v>
      </c>
      <c r="B341" s="1" t="s">
        <v>1271</v>
      </c>
      <c r="C341" s="1" t="s">
        <v>1272</v>
      </c>
      <c r="D341" s="1" t="s">
        <v>1273</v>
      </c>
      <c r="E341" s="5" t="s">
        <v>16</v>
      </c>
      <c r="F341" s="8" t="s">
        <v>1311</v>
      </c>
      <c r="G341" s="10" t="s">
        <v>1312</v>
      </c>
      <c r="H341" s="10" t="s">
        <v>1313</v>
      </c>
      <c r="I341" s="10" t="s">
        <v>1314</v>
      </c>
      <c r="J341" s="8" t="s">
        <v>1321</v>
      </c>
      <c r="K341" s="6" t="s">
        <v>1322</v>
      </c>
      <c r="L341" s="9" t="s">
        <v>827</v>
      </c>
    </row>
    <row r="342" customFormat="false" ht="49.5" hidden="false" customHeight="false" outlineLevel="0" collapsed="false">
      <c r="A342" s="1" t="n">
        <v>2022</v>
      </c>
      <c r="B342" s="1" t="s">
        <v>1323</v>
      </c>
      <c r="C342" s="1" t="s">
        <v>1324</v>
      </c>
      <c r="D342" s="1" t="s">
        <v>15</v>
      </c>
      <c r="E342" s="5" t="s">
        <v>16</v>
      </c>
      <c r="F342" s="8" t="s">
        <v>1325</v>
      </c>
      <c r="G342" s="10" t="s">
        <v>1326</v>
      </c>
      <c r="H342" s="10" t="s">
        <v>1327</v>
      </c>
      <c r="I342" s="10" t="s">
        <v>1328</v>
      </c>
      <c r="J342" s="8" t="s">
        <v>1329</v>
      </c>
      <c r="K342" s="6" t="s">
        <v>1330</v>
      </c>
      <c r="L342" s="9" t="s">
        <v>827</v>
      </c>
    </row>
    <row r="343" customFormat="false" ht="49.5" hidden="false" customHeight="false" outlineLevel="0" collapsed="false">
      <c r="A343" s="1" t="n">
        <v>2022</v>
      </c>
      <c r="B343" s="1" t="s">
        <v>1323</v>
      </c>
      <c r="C343" s="1" t="s">
        <v>1324</v>
      </c>
      <c r="D343" s="1" t="s">
        <v>15</v>
      </c>
      <c r="E343" s="5" t="s">
        <v>16</v>
      </c>
      <c r="F343" s="8" t="s">
        <v>1325</v>
      </c>
      <c r="G343" s="10" t="s">
        <v>1326</v>
      </c>
      <c r="H343" s="10" t="s">
        <v>1327</v>
      </c>
      <c r="I343" s="10" t="s">
        <v>1331</v>
      </c>
      <c r="J343" s="8" t="s">
        <v>1332</v>
      </c>
      <c r="K343" s="6" t="s">
        <v>1333</v>
      </c>
      <c r="L343" s="9" t="s">
        <v>827</v>
      </c>
    </row>
    <row r="344" customFormat="false" ht="49.5" hidden="false" customHeight="false" outlineLevel="0" collapsed="false">
      <c r="A344" s="1" t="n">
        <v>2022</v>
      </c>
      <c r="B344" s="1" t="s">
        <v>1323</v>
      </c>
      <c r="C344" s="1" t="s">
        <v>1324</v>
      </c>
      <c r="D344" s="1" t="s">
        <v>15</v>
      </c>
      <c r="E344" s="5" t="s">
        <v>16</v>
      </c>
      <c r="F344" s="8" t="s">
        <v>1325</v>
      </c>
      <c r="G344" s="10" t="s">
        <v>1326</v>
      </c>
      <c r="H344" s="10" t="s">
        <v>1327</v>
      </c>
      <c r="I344" s="10" t="s">
        <v>1331</v>
      </c>
      <c r="J344" s="8" t="s">
        <v>1334</v>
      </c>
      <c r="K344" s="6" t="s">
        <v>1335</v>
      </c>
      <c r="L344" s="9" t="s">
        <v>827</v>
      </c>
    </row>
    <row r="345" customFormat="false" ht="49.5" hidden="false" customHeight="false" outlineLevel="0" collapsed="false">
      <c r="A345" s="1" t="n">
        <v>2022</v>
      </c>
      <c r="B345" s="1" t="s">
        <v>1323</v>
      </c>
      <c r="C345" s="1" t="s">
        <v>1324</v>
      </c>
      <c r="D345" s="1" t="s">
        <v>15</v>
      </c>
      <c r="E345" s="5" t="s">
        <v>16</v>
      </c>
      <c r="F345" s="8" t="s">
        <v>1325</v>
      </c>
      <c r="G345" s="10" t="s">
        <v>1326</v>
      </c>
      <c r="H345" s="10" t="s">
        <v>1327</v>
      </c>
      <c r="I345" s="10" t="s">
        <v>1331</v>
      </c>
      <c r="J345" s="8" t="s">
        <v>1336</v>
      </c>
      <c r="K345" s="6" t="s">
        <v>1337</v>
      </c>
      <c r="L345" s="9" t="s">
        <v>827</v>
      </c>
    </row>
    <row r="346" customFormat="false" ht="27" hidden="false" customHeight="false" outlineLevel="0" collapsed="false">
      <c r="A346" s="1" t="n">
        <v>2022</v>
      </c>
      <c r="B346" s="1" t="s">
        <v>1323</v>
      </c>
      <c r="C346" s="1" t="s">
        <v>1324</v>
      </c>
      <c r="D346" s="1" t="s">
        <v>15</v>
      </c>
      <c r="E346" s="5" t="s">
        <v>16</v>
      </c>
      <c r="F346" s="8" t="s">
        <v>1338</v>
      </c>
      <c r="G346" s="10" t="s">
        <v>1339</v>
      </c>
      <c r="H346" s="10" t="s">
        <v>1327</v>
      </c>
      <c r="I346" s="10" t="s">
        <v>1340</v>
      </c>
      <c r="J346" s="8" t="s">
        <v>1341</v>
      </c>
      <c r="K346" s="6" t="s">
        <v>1342</v>
      </c>
      <c r="L346" s="9" t="s">
        <v>23</v>
      </c>
      <c r="M346" s="2" t="n">
        <v>45121</v>
      </c>
    </row>
    <row r="347" customFormat="false" ht="27" hidden="false" customHeight="false" outlineLevel="0" collapsed="false">
      <c r="A347" s="1" t="n">
        <v>2022</v>
      </c>
      <c r="B347" s="1" t="s">
        <v>1323</v>
      </c>
      <c r="C347" s="1" t="s">
        <v>1324</v>
      </c>
      <c r="D347" s="1" t="s">
        <v>15</v>
      </c>
      <c r="E347" s="5" t="s">
        <v>16</v>
      </c>
      <c r="F347" s="8" t="s">
        <v>1338</v>
      </c>
      <c r="G347" s="10" t="s">
        <v>1339</v>
      </c>
      <c r="H347" s="10" t="s">
        <v>1327</v>
      </c>
      <c r="I347" s="10" t="s">
        <v>1340</v>
      </c>
      <c r="J347" s="8" t="s">
        <v>1343</v>
      </c>
      <c r="K347" s="6" t="s">
        <v>1344</v>
      </c>
      <c r="L347" s="9" t="s">
        <v>23</v>
      </c>
      <c r="M347" s="2" t="n">
        <v>45121</v>
      </c>
    </row>
    <row r="348" customFormat="false" ht="27" hidden="false" customHeight="false" outlineLevel="0" collapsed="false">
      <c r="A348" s="1" t="n">
        <v>2022</v>
      </c>
      <c r="B348" s="1" t="s">
        <v>1323</v>
      </c>
      <c r="C348" s="1" t="s">
        <v>1324</v>
      </c>
      <c r="D348" s="1" t="s">
        <v>15</v>
      </c>
      <c r="E348" s="5" t="s">
        <v>16</v>
      </c>
      <c r="F348" s="8" t="s">
        <v>1338</v>
      </c>
      <c r="G348" s="10" t="s">
        <v>1339</v>
      </c>
      <c r="H348" s="10" t="s">
        <v>1327</v>
      </c>
      <c r="I348" s="10" t="s">
        <v>1340</v>
      </c>
      <c r="J348" s="8" t="s">
        <v>1345</v>
      </c>
      <c r="K348" s="6" t="s">
        <v>1346</v>
      </c>
      <c r="L348" s="9" t="s">
        <v>23</v>
      </c>
      <c r="M348" s="2" t="n">
        <v>45121</v>
      </c>
    </row>
    <row r="349" customFormat="false" ht="22.5" hidden="false" customHeight="false" outlineLevel="0" collapsed="false">
      <c r="A349" s="1" t="n">
        <v>2022</v>
      </c>
      <c r="B349" s="1" t="s">
        <v>1323</v>
      </c>
      <c r="C349" s="1" t="s">
        <v>1324</v>
      </c>
      <c r="D349" s="1" t="s">
        <v>15</v>
      </c>
      <c r="E349" s="5" t="s">
        <v>16</v>
      </c>
      <c r="F349" s="8" t="s">
        <v>1338</v>
      </c>
      <c r="G349" s="10" t="s">
        <v>1339</v>
      </c>
      <c r="H349" s="10" t="s">
        <v>1327</v>
      </c>
      <c r="I349" s="10" t="s">
        <v>1340</v>
      </c>
      <c r="J349" s="8" t="s">
        <v>1347</v>
      </c>
      <c r="K349" s="6" t="s">
        <v>1348</v>
      </c>
      <c r="L349" s="9" t="s">
        <v>23</v>
      </c>
      <c r="M349" s="2" t="n">
        <v>45121</v>
      </c>
    </row>
    <row r="350" customFormat="false" ht="27" hidden="false" customHeight="false" outlineLevel="0" collapsed="false">
      <c r="A350" s="1" t="n">
        <v>2022</v>
      </c>
      <c r="B350" s="1" t="s">
        <v>1323</v>
      </c>
      <c r="C350" s="1" t="s">
        <v>1324</v>
      </c>
      <c r="D350" s="1" t="s">
        <v>15</v>
      </c>
      <c r="E350" s="5" t="s">
        <v>16</v>
      </c>
      <c r="F350" s="8" t="s">
        <v>1349</v>
      </c>
      <c r="G350" s="10" t="s">
        <v>1350</v>
      </c>
      <c r="H350" s="10" t="s">
        <v>1327</v>
      </c>
      <c r="I350" s="10" t="s">
        <v>1340</v>
      </c>
      <c r="J350" s="8" t="s">
        <v>1351</v>
      </c>
      <c r="K350" s="6" t="s">
        <v>1352</v>
      </c>
      <c r="L350" s="9" t="s">
        <v>23</v>
      </c>
      <c r="M350" s="2" t="n">
        <v>45121</v>
      </c>
    </row>
    <row r="351" customFormat="false" ht="27" hidden="false" customHeight="false" outlineLevel="0" collapsed="false">
      <c r="A351" s="1" t="n">
        <v>2022</v>
      </c>
      <c r="B351" s="1" t="s">
        <v>1323</v>
      </c>
      <c r="C351" s="1" t="s">
        <v>1324</v>
      </c>
      <c r="D351" s="1" t="s">
        <v>15</v>
      </c>
      <c r="E351" s="5" t="s">
        <v>16</v>
      </c>
      <c r="F351" s="8" t="s">
        <v>1349</v>
      </c>
      <c r="G351" s="10" t="s">
        <v>1350</v>
      </c>
      <c r="H351" s="10" t="s">
        <v>1327</v>
      </c>
      <c r="I351" s="10" t="s">
        <v>1340</v>
      </c>
      <c r="J351" s="8" t="s">
        <v>1353</v>
      </c>
      <c r="K351" s="6" t="s">
        <v>1354</v>
      </c>
      <c r="L351" s="9" t="s">
        <v>23</v>
      </c>
      <c r="M351" s="2" t="n">
        <v>45121</v>
      </c>
    </row>
    <row r="352" customFormat="false" ht="27" hidden="false" customHeight="false" outlineLevel="0" collapsed="false">
      <c r="A352" s="1" t="n">
        <v>2022</v>
      </c>
      <c r="B352" s="1" t="s">
        <v>1323</v>
      </c>
      <c r="C352" s="1" t="s">
        <v>1324</v>
      </c>
      <c r="D352" s="1" t="s">
        <v>15</v>
      </c>
      <c r="E352" s="5" t="s">
        <v>16</v>
      </c>
      <c r="F352" s="8" t="s">
        <v>1349</v>
      </c>
      <c r="G352" s="10" t="s">
        <v>1350</v>
      </c>
      <c r="H352" s="10" t="s">
        <v>1327</v>
      </c>
      <c r="I352" s="10" t="s">
        <v>1340</v>
      </c>
      <c r="J352" s="8" t="s">
        <v>1355</v>
      </c>
      <c r="K352" s="6" t="s">
        <v>1356</v>
      </c>
      <c r="L352" s="9" t="s">
        <v>827</v>
      </c>
    </row>
    <row r="353" customFormat="false" ht="36" hidden="false" customHeight="false" outlineLevel="0" collapsed="false">
      <c r="A353" s="1" t="n">
        <v>2022</v>
      </c>
      <c r="B353" s="1" t="s">
        <v>1323</v>
      </c>
      <c r="C353" s="1" t="s">
        <v>1324</v>
      </c>
      <c r="D353" s="1" t="s">
        <v>15</v>
      </c>
      <c r="E353" s="5" t="s">
        <v>16</v>
      </c>
      <c r="F353" s="8" t="s">
        <v>1349</v>
      </c>
      <c r="G353" s="10" t="s">
        <v>1350</v>
      </c>
      <c r="H353" s="10" t="s">
        <v>1327</v>
      </c>
      <c r="I353" s="10" t="s">
        <v>1340</v>
      </c>
      <c r="J353" s="8" t="s">
        <v>1357</v>
      </c>
      <c r="K353" s="6" t="s">
        <v>1358</v>
      </c>
      <c r="L353" s="9" t="s">
        <v>827</v>
      </c>
    </row>
    <row r="354" customFormat="false" ht="27" hidden="false" customHeight="false" outlineLevel="0" collapsed="false">
      <c r="A354" s="1" t="n">
        <v>2022</v>
      </c>
      <c r="B354" s="1" t="s">
        <v>1323</v>
      </c>
      <c r="C354" s="1" t="s">
        <v>1324</v>
      </c>
      <c r="D354" s="1" t="s">
        <v>15</v>
      </c>
      <c r="E354" s="5" t="s">
        <v>16</v>
      </c>
      <c r="F354" s="8" t="s">
        <v>1359</v>
      </c>
      <c r="G354" s="10" t="s">
        <v>1360</v>
      </c>
      <c r="H354" s="10" t="s">
        <v>1327</v>
      </c>
      <c r="I354" s="10" t="s">
        <v>1361</v>
      </c>
      <c r="J354" s="8" t="s">
        <v>1362</v>
      </c>
      <c r="K354" s="6" t="s">
        <v>1363</v>
      </c>
      <c r="L354" s="9" t="s">
        <v>23</v>
      </c>
      <c r="M354" s="2" t="n">
        <v>45121</v>
      </c>
    </row>
    <row r="355" customFormat="false" ht="33" hidden="false" customHeight="false" outlineLevel="0" collapsed="false">
      <c r="A355" s="1" t="n">
        <v>2022</v>
      </c>
      <c r="B355" s="1" t="s">
        <v>1323</v>
      </c>
      <c r="C355" s="1" t="s">
        <v>1324</v>
      </c>
      <c r="D355" s="1" t="s">
        <v>15</v>
      </c>
      <c r="E355" s="5" t="s">
        <v>16</v>
      </c>
      <c r="F355" s="8" t="s">
        <v>1364</v>
      </c>
      <c r="G355" s="10" t="s">
        <v>1365</v>
      </c>
      <c r="H355" s="10" t="s">
        <v>1327</v>
      </c>
      <c r="I355" s="10" t="s">
        <v>1340</v>
      </c>
      <c r="J355" s="8" t="s">
        <v>1366</v>
      </c>
      <c r="K355" s="6" t="s">
        <v>1367</v>
      </c>
      <c r="L355" s="9" t="s">
        <v>23</v>
      </c>
      <c r="M355" s="2" t="n">
        <v>45121</v>
      </c>
    </row>
    <row r="356" customFormat="false" ht="36" hidden="false" customHeight="false" outlineLevel="0" collapsed="false">
      <c r="A356" s="1" t="n">
        <v>2022</v>
      </c>
      <c r="B356" s="1" t="s">
        <v>1323</v>
      </c>
      <c r="C356" s="1" t="s">
        <v>1324</v>
      </c>
      <c r="D356" s="1" t="s">
        <v>15</v>
      </c>
      <c r="E356" s="5" t="s">
        <v>16</v>
      </c>
      <c r="F356" s="8" t="s">
        <v>1364</v>
      </c>
      <c r="G356" s="10" t="s">
        <v>1365</v>
      </c>
      <c r="H356" s="10" t="s">
        <v>1327</v>
      </c>
      <c r="I356" s="10" t="s">
        <v>1340</v>
      </c>
      <c r="J356" s="8" t="s">
        <v>1368</v>
      </c>
      <c r="K356" s="6" t="s">
        <v>1369</v>
      </c>
      <c r="L356" s="9" t="s">
        <v>23</v>
      </c>
      <c r="M356" s="2" t="n">
        <v>45121</v>
      </c>
    </row>
    <row r="357" customFormat="false" ht="33" hidden="false" customHeight="false" outlineLevel="0" collapsed="false">
      <c r="A357" s="1" t="n">
        <v>2022</v>
      </c>
      <c r="B357" s="1" t="s">
        <v>1323</v>
      </c>
      <c r="C357" s="1" t="s">
        <v>1324</v>
      </c>
      <c r="D357" s="1" t="s">
        <v>15</v>
      </c>
      <c r="E357" s="5" t="s">
        <v>16</v>
      </c>
      <c r="F357" s="8" t="s">
        <v>1364</v>
      </c>
      <c r="G357" s="10" t="s">
        <v>1365</v>
      </c>
      <c r="H357" s="10" t="s">
        <v>1327</v>
      </c>
      <c r="I357" s="10" t="s">
        <v>1340</v>
      </c>
      <c r="J357" s="8" t="s">
        <v>1370</v>
      </c>
      <c r="K357" s="6" t="s">
        <v>1371</v>
      </c>
      <c r="L357" s="9" t="s">
        <v>23</v>
      </c>
      <c r="M357" s="2" t="n">
        <v>45121</v>
      </c>
    </row>
    <row r="358" customFormat="false" ht="33" hidden="false" customHeight="false" outlineLevel="0" collapsed="false">
      <c r="A358" s="1" t="n">
        <v>2022</v>
      </c>
      <c r="B358" s="1" t="s">
        <v>1323</v>
      </c>
      <c r="C358" s="1" t="s">
        <v>1324</v>
      </c>
      <c r="D358" s="1" t="s">
        <v>15</v>
      </c>
      <c r="E358" s="5" t="s">
        <v>16</v>
      </c>
      <c r="F358" s="8" t="s">
        <v>1364</v>
      </c>
      <c r="G358" s="10" t="s">
        <v>1365</v>
      </c>
      <c r="H358" s="10" t="s">
        <v>1327</v>
      </c>
      <c r="I358" s="10" t="s">
        <v>1340</v>
      </c>
      <c r="J358" s="8" t="s">
        <v>1372</v>
      </c>
      <c r="K358" s="6" t="s">
        <v>1373</v>
      </c>
      <c r="L358" s="9" t="s">
        <v>23</v>
      </c>
      <c r="M358" s="2" t="n">
        <v>45121</v>
      </c>
    </row>
    <row r="359" customFormat="false" ht="36" hidden="false" customHeight="false" outlineLevel="0" collapsed="false">
      <c r="A359" s="1" t="n">
        <v>2022</v>
      </c>
      <c r="B359" s="1" t="s">
        <v>1323</v>
      </c>
      <c r="C359" s="1" t="s">
        <v>1324</v>
      </c>
      <c r="D359" s="1" t="s">
        <v>15</v>
      </c>
      <c r="E359" s="5" t="s">
        <v>16</v>
      </c>
      <c r="F359" s="8" t="s">
        <v>1374</v>
      </c>
      <c r="G359" s="10" t="s">
        <v>1375</v>
      </c>
      <c r="H359" s="10" t="s">
        <v>1327</v>
      </c>
      <c r="I359" s="10" t="s">
        <v>1340</v>
      </c>
      <c r="J359" s="8" t="s">
        <v>1376</v>
      </c>
      <c r="K359" s="6" t="s">
        <v>1377</v>
      </c>
      <c r="L359" s="9" t="s">
        <v>827</v>
      </c>
    </row>
    <row r="360" customFormat="false" ht="36" hidden="false" customHeight="false" outlineLevel="0" collapsed="false">
      <c r="A360" s="1" t="n">
        <v>2022</v>
      </c>
      <c r="B360" s="1" t="s">
        <v>1323</v>
      </c>
      <c r="C360" s="1" t="s">
        <v>1324</v>
      </c>
      <c r="D360" s="1" t="s">
        <v>15</v>
      </c>
      <c r="E360" s="5" t="s">
        <v>16</v>
      </c>
      <c r="F360" s="8" t="s">
        <v>1374</v>
      </c>
      <c r="G360" s="10" t="s">
        <v>1375</v>
      </c>
      <c r="H360" s="10" t="s">
        <v>1327</v>
      </c>
      <c r="I360" s="10" t="s">
        <v>1340</v>
      </c>
      <c r="J360" s="8" t="s">
        <v>1378</v>
      </c>
      <c r="K360" s="6" t="s">
        <v>1379</v>
      </c>
      <c r="L360" s="9" t="s">
        <v>827</v>
      </c>
    </row>
    <row r="361" customFormat="false" ht="33" hidden="false" customHeight="false" outlineLevel="0" collapsed="false">
      <c r="A361" s="1" t="n">
        <v>2022</v>
      </c>
      <c r="B361" s="1" t="s">
        <v>1323</v>
      </c>
      <c r="C361" s="1" t="s">
        <v>1324</v>
      </c>
      <c r="D361" s="1" t="s">
        <v>15</v>
      </c>
      <c r="E361" s="5" t="s">
        <v>16</v>
      </c>
      <c r="F361" s="8" t="s">
        <v>1374</v>
      </c>
      <c r="G361" s="10" t="s">
        <v>1375</v>
      </c>
      <c r="H361" s="10" t="s">
        <v>1327</v>
      </c>
      <c r="I361" s="10" t="s">
        <v>1340</v>
      </c>
      <c r="J361" s="8" t="s">
        <v>1380</v>
      </c>
      <c r="K361" s="6" t="s">
        <v>1381</v>
      </c>
      <c r="L361" s="9" t="s">
        <v>827</v>
      </c>
    </row>
    <row r="362" customFormat="false" ht="33" hidden="false" customHeight="false" outlineLevel="0" collapsed="false">
      <c r="A362" s="1" t="n">
        <v>2022</v>
      </c>
      <c r="B362" s="1" t="s">
        <v>1323</v>
      </c>
      <c r="C362" s="1" t="s">
        <v>1324</v>
      </c>
      <c r="D362" s="1" t="s">
        <v>15</v>
      </c>
      <c r="E362" s="5" t="s">
        <v>16</v>
      </c>
      <c r="F362" s="8" t="s">
        <v>1374</v>
      </c>
      <c r="G362" s="10" t="s">
        <v>1375</v>
      </c>
      <c r="H362" s="10" t="s">
        <v>1327</v>
      </c>
      <c r="I362" s="10" t="s">
        <v>1340</v>
      </c>
      <c r="J362" s="8" t="s">
        <v>1382</v>
      </c>
      <c r="K362" s="6" t="s">
        <v>1383</v>
      </c>
      <c r="L362" s="9" t="s">
        <v>827</v>
      </c>
    </row>
    <row r="363" customFormat="false" ht="123.75" hidden="false" customHeight="false" outlineLevel="0" collapsed="false">
      <c r="A363" s="1" t="n">
        <v>2022</v>
      </c>
      <c r="B363" s="1" t="s">
        <v>1384</v>
      </c>
      <c r="C363" s="1" t="s">
        <v>1385</v>
      </c>
      <c r="D363" s="1" t="s">
        <v>606</v>
      </c>
      <c r="E363" s="5" t="s">
        <v>16</v>
      </c>
      <c r="F363" s="8" t="s">
        <v>1386</v>
      </c>
      <c r="G363" s="10" t="s">
        <v>1387</v>
      </c>
      <c r="H363" s="10" t="s">
        <v>1388</v>
      </c>
      <c r="I363" s="10" t="s">
        <v>1389</v>
      </c>
      <c r="J363" s="8" t="s">
        <v>1390</v>
      </c>
      <c r="K363" s="6" t="s">
        <v>1391</v>
      </c>
      <c r="L363" s="9" t="s">
        <v>55</v>
      </c>
      <c r="M363" s="2" t="n">
        <v>45119</v>
      </c>
    </row>
    <row r="364" customFormat="false" ht="36" hidden="false" customHeight="false" outlineLevel="0" collapsed="false">
      <c r="A364" s="1" t="n">
        <v>2022</v>
      </c>
      <c r="B364" s="1" t="s">
        <v>1384</v>
      </c>
      <c r="C364" s="1" t="s">
        <v>1385</v>
      </c>
      <c r="D364" s="1" t="s">
        <v>606</v>
      </c>
      <c r="E364" s="5" t="s">
        <v>16</v>
      </c>
      <c r="F364" s="8" t="s">
        <v>1386</v>
      </c>
      <c r="G364" s="10" t="s">
        <v>1392</v>
      </c>
      <c r="H364" s="10" t="s">
        <v>1393</v>
      </c>
      <c r="I364" s="10" t="s">
        <v>1394</v>
      </c>
      <c r="J364" s="8" t="s">
        <v>1395</v>
      </c>
      <c r="K364" s="6" t="s">
        <v>1396</v>
      </c>
      <c r="L364" s="9" t="s">
        <v>827</v>
      </c>
    </row>
    <row r="365" customFormat="false" ht="36" hidden="false" customHeight="false" outlineLevel="0" collapsed="false">
      <c r="A365" s="1" t="n">
        <v>2022</v>
      </c>
      <c r="B365" s="1" t="s">
        <v>1384</v>
      </c>
      <c r="C365" s="1" t="s">
        <v>1385</v>
      </c>
      <c r="D365" s="1" t="s">
        <v>606</v>
      </c>
      <c r="E365" s="5" t="s">
        <v>16</v>
      </c>
      <c r="F365" s="8" t="s">
        <v>1386</v>
      </c>
      <c r="G365" s="10" t="s">
        <v>1392</v>
      </c>
      <c r="H365" s="10" t="s">
        <v>1393</v>
      </c>
      <c r="I365" s="10" t="s">
        <v>1394</v>
      </c>
      <c r="J365" s="8" t="s">
        <v>1397</v>
      </c>
      <c r="K365" s="6" t="s">
        <v>1398</v>
      </c>
      <c r="L365" s="9" t="s">
        <v>827</v>
      </c>
    </row>
    <row r="366" customFormat="false" ht="22.5" hidden="false" customHeight="false" outlineLevel="0" collapsed="false">
      <c r="A366" s="1" t="n">
        <v>2022</v>
      </c>
      <c r="B366" s="1" t="s">
        <v>1384</v>
      </c>
      <c r="C366" s="1" t="s">
        <v>1385</v>
      </c>
      <c r="D366" s="1" t="s">
        <v>606</v>
      </c>
      <c r="E366" s="5" t="s">
        <v>16</v>
      </c>
      <c r="F366" s="8" t="s">
        <v>1386</v>
      </c>
      <c r="G366" s="10" t="s">
        <v>1392</v>
      </c>
      <c r="H366" s="10" t="s">
        <v>1393</v>
      </c>
      <c r="I366" s="10" t="s">
        <v>1394</v>
      </c>
      <c r="J366" s="8" t="s">
        <v>1399</v>
      </c>
      <c r="K366" s="6" t="s">
        <v>1400</v>
      </c>
      <c r="L366" s="9" t="s">
        <v>827</v>
      </c>
    </row>
    <row r="367" customFormat="false" ht="57.75" hidden="false" customHeight="false" outlineLevel="0" collapsed="false">
      <c r="A367" s="1" t="n">
        <v>2022</v>
      </c>
      <c r="B367" s="1" t="s">
        <v>1384</v>
      </c>
      <c r="C367" s="1" t="s">
        <v>1385</v>
      </c>
      <c r="D367" s="1" t="s">
        <v>606</v>
      </c>
      <c r="E367" s="5" t="s">
        <v>16</v>
      </c>
      <c r="F367" s="8" t="s">
        <v>1401</v>
      </c>
      <c r="G367" s="10" t="s">
        <v>1402</v>
      </c>
      <c r="H367" s="10" t="s">
        <v>1403</v>
      </c>
      <c r="I367" s="10" t="s">
        <v>1394</v>
      </c>
      <c r="J367" s="8" t="s">
        <v>1404</v>
      </c>
      <c r="K367" s="6" t="s">
        <v>1405</v>
      </c>
      <c r="L367" s="9" t="s">
        <v>23</v>
      </c>
      <c r="M367" s="2" t="n">
        <v>45119</v>
      </c>
    </row>
    <row r="368" customFormat="false" ht="36" hidden="false" customHeight="false" outlineLevel="0" collapsed="false">
      <c r="A368" s="1" t="n">
        <v>2022</v>
      </c>
      <c r="B368" s="1" t="s">
        <v>1384</v>
      </c>
      <c r="C368" s="1" t="s">
        <v>1385</v>
      </c>
      <c r="D368" s="1" t="s">
        <v>606</v>
      </c>
      <c r="E368" s="5" t="s">
        <v>16</v>
      </c>
      <c r="F368" s="8" t="s">
        <v>1401</v>
      </c>
      <c r="G368" s="10" t="s">
        <v>1392</v>
      </c>
      <c r="H368" s="10" t="s">
        <v>1393</v>
      </c>
      <c r="I368" s="10" t="s">
        <v>1406</v>
      </c>
      <c r="J368" s="8" t="s">
        <v>1407</v>
      </c>
      <c r="K368" s="6" t="s">
        <v>1408</v>
      </c>
      <c r="L368" s="9" t="s">
        <v>827</v>
      </c>
    </row>
    <row r="369" customFormat="false" ht="27" hidden="false" customHeight="false" outlineLevel="0" collapsed="false">
      <c r="A369" s="1" t="n">
        <v>2022</v>
      </c>
      <c r="B369" s="1" t="s">
        <v>1384</v>
      </c>
      <c r="C369" s="1" t="s">
        <v>1385</v>
      </c>
      <c r="D369" s="1" t="s">
        <v>606</v>
      </c>
      <c r="E369" s="5" t="s">
        <v>16</v>
      </c>
      <c r="F369" s="8" t="s">
        <v>1401</v>
      </c>
      <c r="G369" s="10" t="s">
        <v>1392</v>
      </c>
      <c r="H369" s="10" t="s">
        <v>1393</v>
      </c>
      <c r="I369" s="10" t="s">
        <v>1406</v>
      </c>
      <c r="J369" s="8" t="s">
        <v>1409</v>
      </c>
      <c r="K369" s="6" t="s">
        <v>1410</v>
      </c>
      <c r="L369" s="9" t="s">
        <v>827</v>
      </c>
    </row>
    <row r="370" customFormat="false" ht="24.75" hidden="false" customHeight="false" outlineLevel="0" collapsed="false">
      <c r="A370" s="1" t="n">
        <v>2022</v>
      </c>
      <c r="B370" s="1" t="s">
        <v>1384</v>
      </c>
      <c r="C370" s="1" t="s">
        <v>1385</v>
      </c>
      <c r="D370" s="1" t="s">
        <v>606</v>
      </c>
      <c r="E370" s="5" t="s">
        <v>16</v>
      </c>
      <c r="F370" s="8" t="s">
        <v>1401</v>
      </c>
      <c r="G370" s="10" t="s">
        <v>1392</v>
      </c>
      <c r="H370" s="10" t="s">
        <v>1393</v>
      </c>
      <c r="I370" s="10" t="s">
        <v>1406</v>
      </c>
      <c r="J370" s="8" t="s">
        <v>1411</v>
      </c>
      <c r="K370" s="6" t="s">
        <v>1412</v>
      </c>
      <c r="L370" s="9" t="s">
        <v>827</v>
      </c>
    </row>
    <row r="371" customFormat="false" ht="66" hidden="false" customHeight="false" outlineLevel="0" collapsed="false">
      <c r="A371" s="1" t="n">
        <v>2022</v>
      </c>
      <c r="B371" s="1" t="s">
        <v>1384</v>
      </c>
      <c r="C371" s="1" t="s">
        <v>1385</v>
      </c>
      <c r="D371" s="1" t="s">
        <v>606</v>
      </c>
      <c r="E371" s="5" t="s">
        <v>16</v>
      </c>
      <c r="F371" s="8" t="s">
        <v>1413</v>
      </c>
      <c r="G371" s="10" t="s">
        <v>1414</v>
      </c>
      <c r="H371" s="10" t="s">
        <v>1415</v>
      </c>
      <c r="I371" s="10" t="s">
        <v>1416</v>
      </c>
      <c r="J371" s="8" t="s">
        <v>1417</v>
      </c>
      <c r="K371" s="6" t="s">
        <v>1418</v>
      </c>
      <c r="L371" s="9" t="s">
        <v>23</v>
      </c>
      <c r="M371" s="2" t="n">
        <v>45119</v>
      </c>
    </row>
    <row r="372" customFormat="false" ht="22.5" hidden="false" customHeight="false" outlineLevel="0" collapsed="false">
      <c r="A372" s="1" t="n">
        <v>2022</v>
      </c>
      <c r="B372" s="1" t="s">
        <v>1384</v>
      </c>
      <c r="C372" s="1" t="s">
        <v>1385</v>
      </c>
      <c r="D372" s="1" t="s">
        <v>606</v>
      </c>
      <c r="E372" s="5" t="s">
        <v>16</v>
      </c>
      <c r="F372" s="8" t="s">
        <v>1413</v>
      </c>
      <c r="G372" s="10" t="s">
        <v>1392</v>
      </c>
      <c r="H372" s="10" t="s">
        <v>1393</v>
      </c>
      <c r="I372" s="10" t="s">
        <v>1416</v>
      </c>
      <c r="J372" s="8" t="s">
        <v>1419</v>
      </c>
      <c r="K372" s="6" t="s">
        <v>1420</v>
      </c>
      <c r="L372" s="9" t="s">
        <v>1266</v>
      </c>
      <c r="M372" s="2" t="n">
        <v>45119</v>
      </c>
    </row>
    <row r="373" customFormat="false" ht="22.5" hidden="false" customHeight="false" outlineLevel="0" collapsed="false">
      <c r="A373" s="1" t="n">
        <v>2022</v>
      </c>
      <c r="B373" s="1" t="s">
        <v>1384</v>
      </c>
      <c r="C373" s="1" t="s">
        <v>1385</v>
      </c>
      <c r="D373" s="1" t="s">
        <v>606</v>
      </c>
      <c r="E373" s="5" t="s">
        <v>16</v>
      </c>
      <c r="F373" s="8" t="s">
        <v>1413</v>
      </c>
      <c r="G373" s="10" t="s">
        <v>1392</v>
      </c>
      <c r="H373" s="10" t="s">
        <v>1393</v>
      </c>
      <c r="I373" s="10" t="s">
        <v>1416</v>
      </c>
      <c r="J373" s="8" t="s">
        <v>1421</v>
      </c>
      <c r="K373" s="6" t="s">
        <v>1422</v>
      </c>
      <c r="L373" s="9" t="s">
        <v>1266</v>
      </c>
      <c r="M373" s="2" t="n">
        <v>45119</v>
      </c>
    </row>
    <row r="374" customFormat="false" ht="22.5" hidden="false" customHeight="false" outlineLevel="0" collapsed="false">
      <c r="A374" s="1" t="n">
        <v>2022</v>
      </c>
      <c r="B374" s="1" t="s">
        <v>1384</v>
      </c>
      <c r="C374" s="1" t="s">
        <v>1385</v>
      </c>
      <c r="D374" s="1" t="s">
        <v>606</v>
      </c>
      <c r="E374" s="5" t="s">
        <v>16</v>
      </c>
      <c r="F374" s="8" t="s">
        <v>1413</v>
      </c>
      <c r="G374" s="10" t="s">
        <v>1392</v>
      </c>
      <c r="H374" s="10" t="s">
        <v>1393</v>
      </c>
      <c r="I374" s="10" t="s">
        <v>1416</v>
      </c>
      <c r="J374" s="8" t="s">
        <v>1423</v>
      </c>
      <c r="K374" s="6" t="s">
        <v>1424</v>
      </c>
      <c r="L374" s="9" t="s">
        <v>827</v>
      </c>
    </row>
    <row r="375" customFormat="false" ht="41.25" hidden="false" customHeight="false" outlineLevel="0" collapsed="false">
      <c r="A375" s="1" t="n">
        <v>2022</v>
      </c>
      <c r="B375" s="1" t="s">
        <v>1384</v>
      </c>
      <c r="C375" s="1" t="s">
        <v>1385</v>
      </c>
      <c r="D375" s="1" t="s">
        <v>606</v>
      </c>
      <c r="E375" s="5" t="s">
        <v>16</v>
      </c>
      <c r="F375" s="8" t="s">
        <v>1425</v>
      </c>
      <c r="G375" s="10" t="s">
        <v>1426</v>
      </c>
      <c r="H375" s="10" t="s">
        <v>1427</v>
      </c>
      <c r="I375" s="10" t="s">
        <v>1406</v>
      </c>
      <c r="J375" s="8" t="s">
        <v>1428</v>
      </c>
      <c r="K375" s="6" t="s">
        <v>1429</v>
      </c>
      <c r="L375" s="9" t="s">
        <v>23</v>
      </c>
      <c r="M375" s="2" t="n">
        <v>45119</v>
      </c>
    </row>
    <row r="376" customFormat="false" ht="24.75" hidden="false" customHeight="false" outlineLevel="0" collapsed="false">
      <c r="A376" s="1" t="n">
        <v>2022</v>
      </c>
      <c r="B376" s="1" t="s">
        <v>1384</v>
      </c>
      <c r="C376" s="1" t="s">
        <v>1385</v>
      </c>
      <c r="D376" s="1" t="s">
        <v>606</v>
      </c>
      <c r="E376" s="5" t="s">
        <v>16</v>
      </c>
      <c r="F376" s="8" t="s">
        <v>1425</v>
      </c>
      <c r="G376" s="10" t="s">
        <v>1392</v>
      </c>
      <c r="H376" s="10" t="s">
        <v>1393</v>
      </c>
      <c r="I376" s="10" t="s">
        <v>1406</v>
      </c>
      <c r="J376" s="8" t="s">
        <v>1430</v>
      </c>
      <c r="K376" s="6" t="s">
        <v>1431</v>
      </c>
      <c r="L376" s="9" t="s">
        <v>23</v>
      </c>
      <c r="M376" s="2" t="n">
        <v>45119</v>
      </c>
    </row>
    <row r="377" customFormat="false" ht="24.75" hidden="false" customHeight="false" outlineLevel="0" collapsed="false">
      <c r="A377" s="1" t="n">
        <v>2022</v>
      </c>
      <c r="B377" s="1" t="s">
        <v>1384</v>
      </c>
      <c r="C377" s="1" t="s">
        <v>1385</v>
      </c>
      <c r="D377" s="1" t="s">
        <v>606</v>
      </c>
      <c r="E377" s="5" t="s">
        <v>16</v>
      </c>
      <c r="F377" s="8" t="s">
        <v>1425</v>
      </c>
      <c r="G377" s="10" t="s">
        <v>1392</v>
      </c>
      <c r="H377" s="10" t="s">
        <v>1393</v>
      </c>
      <c r="I377" s="10" t="s">
        <v>1406</v>
      </c>
      <c r="J377" s="8" t="s">
        <v>1432</v>
      </c>
      <c r="K377" s="6" t="s">
        <v>1433</v>
      </c>
      <c r="L377" s="9" t="s">
        <v>23</v>
      </c>
      <c r="M377" s="2" t="n">
        <v>45119</v>
      </c>
    </row>
    <row r="378" customFormat="false" ht="24.75" hidden="false" customHeight="false" outlineLevel="0" collapsed="false">
      <c r="A378" s="1" t="n">
        <v>2022</v>
      </c>
      <c r="B378" s="1" t="s">
        <v>1384</v>
      </c>
      <c r="C378" s="1" t="s">
        <v>1385</v>
      </c>
      <c r="D378" s="1" t="s">
        <v>606</v>
      </c>
      <c r="E378" s="5" t="s">
        <v>16</v>
      </c>
      <c r="F378" s="8" t="s">
        <v>1425</v>
      </c>
      <c r="G378" s="10" t="s">
        <v>1392</v>
      </c>
      <c r="H378" s="10" t="s">
        <v>1393</v>
      </c>
      <c r="I378" s="10" t="s">
        <v>1406</v>
      </c>
      <c r="J378" s="8" t="s">
        <v>1434</v>
      </c>
      <c r="K378" s="6" t="s">
        <v>1435</v>
      </c>
      <c r="L378" s="9" t="s">
        <v>23</v>
      </c>
      <c r="M378" s="2" t="n">
        <v>45119</v>
      </c>
    </row>
    <row r="379" customFormat="false" ht="165" hidden="false" customHeight="false" outlineLevel="0" collapsed="false">
      <c r="A379" s="1" t="n">
        <v>2022</v>
      </c>
      <c r="B379" s="1" t="s">
        <v>1384</v>
      </c>
      <c r="C379" s="1" t="s">
        <v>1385</v>
      </c>
      <c r="D379" s="1" t="s">
        <v>606</v>
      </c>
      <c r="E379" s="5" t="s">
        <v>16</v>
      </c>
      <c r="F379" s="8" t="s">
        <v>1436</v>
      </c>
      <c r="G379" s="10" t="s">
        <v>1437</v>
      </c>
      <c r="H379" s="10" t="s">
        <v>1438</v>
      </c>
      <c r="I379" s="10" t="s">
        <v>1406</v>
      </c>
      <c r="J379" s="8" t="s">
        <v>1439</v>
      </c>
      <c r="K379" s="6" t="s">
        <v>1440</v>
      </c>
      <c r="L379" s="9" t="s">
        <v>1266</v>
      </c>
      <c r="M379" s="2" t="n">
        <v>45119</v>
      </c>
    </row>
    <row r="380" customFormat="false" ht="36" hidden="false" customHeight="false" outlineLevel="0" collapsed="false">
      <c r="A380" s="1" t="n">
        <v>2022</v>
      </c>
      <c r="B380" s="1" t="s">
        <v>1384</v>
      </c>
      <c r="C380" s="1" t="s">
        <v>1385</v>
      </c>
      <c r="D380" s="1" t="s">
        <v>606</v>
      </c>
      <c r="E380" s="5" t="s">
        <v>16</v>
      </c>
      <c r="F380" s="8" t="s">
        <v>1436</v>
      </c>
      <c r="G380" s="10" t="s">
        <v>1392</v>
      </c>
      <c r="H380" s="10" t="s">
        <v>1393</v>
      </c>
      <c r="I380" s="10" t="s">
        <v>1406</v>
      </c>
      <c r="J380" s="8" t="s">
        <v>1441</v>
      </c>
      <c r="K380" s="6" t="s">
        <v>1442</v>
      </c>
      <c r="L380" s="9" t="s">
        <v>827</v>
      </c>
    </row>
    <row r="381" customFormat="false" ht="27" hidden="false" customHeight="false" outlineLevel="0" collapsed="false">
      <c r="A381" s="1" t="n">
        <v>2022</v>
      </c>
      <c r="B381" s="1" t="s">
        <v>1384</v>
      </c>
      <c r="C381" s="1" t="s">
        <v>1385</v>
      </c>
      <c r="D381" s="1" t="s">
        <v>606</v>
      </c>
      <c r="E381" s="5" t="s">
        <v>16</v>
      </c>
      <c r="F381" s="8" t="s">
        <v>1436</v>
      </c>
      <c r="G381" s="10" t="s">
        <v>1392</v>
      </c>
      <c r="H381" s="10" t="s">
        <v>1393</v>
      </c>
      <c r="I381" s="10" t="s">
        <v>1406</v>
      </c>
      <c r="J381" s="8" t="s">
        <v>1443</v>
      </c>
      <c r="K381" s="6" t="s">
        <v>1444</v>
      </c>
      <c r="L381" s="9" t="s">
        <v>1266</v>
      </c>
      <c r="M381" s="2" t="n">
        <v>45119</v>
      </c>
    </row>
    <row r="382" customFormat="false" ht="27" hidden="false" customHeight="false" outlineLevel="0" collapsed="false">
      <c r="A382" s="1" t="n">
        <v>2022</v>
      </c>
      <c r="B382" s="1" t="s">
        <v>1384</v>
      </c>
      <c r="C382" s="1" t="s">
        <v>1385</v>
      </c>
      <c r="D382" s="1" t="s">
        <v>606</v>
      </c>
      <c r="E382" s="5" t="s">
        <v>16</v>
      </c>
      <c r="F382" s="8" t="s">
        <v>1436</v>
      </c>
      <c r="G382" s="10" t="s">
        <v>1392</v>
      </c>
      <c r="H382" s="10" t="s">
        <v>1393</v>
      </c>
      <c r="I382" s="10" t="s">
        <v>1406</v>
      </c>
      <c r="J382" s="8" t="s">
        <v>1445</v>
      </c>
      <c r="K382" s="6" t="s">
        <v>1446</v>
      </c>
      <c r="L382" s="9" t="s">
        <v>827</v>
      </c>
    </row>
    <row r="383" customFormat="false" ht="57.75" hidden="false" customHeight="false" outlineLevel="0" collapsed="false">
      <c r="A383" s="1" t="n">
        <v>2022</v>
      </c>
      <c r="B383" s="1" t="s">
        <v>1384</v>
      </c>
      <c r="C383" s="1" t="s">
        <v>1385</v>
      </c>
      <c r="D383" s="1" t="s">
        <v>606</v>
      </c>
      <c r="E383" s="5" t="s">
        <v>16</v>
      </c>
      <c r="F383" s="8" t="s">
        <v>1447</v>
      </c>
      <c r="G383" s="10" t="s">
        <v>1448</v>
      </c>
      <c r="H383" s="10" t="s">
        <v>1449</v>
      </c>
      <c r="I383" s="10" t="s">
        <v>1394</v>
      </c>
      <c r="J383" s="8" t="s">
        <v>1450</v>
      </c>
      <c r="K383" s="6" t="s">
        <v>1451</v>
      </c>
      <c r="L383" s="9" t="s">
        <v>23</v>
      </c>
      <c r="M383" s="2" t="n">
        <v>45119</v>
      </c>
    </row>
    <row r="384" customFormat="false" ht="27" hidden="false" customHeight="false" outlineLevel="0" collapsed="false">
      <c r="A384" s="1" t="n">
        <v>2022</v>
      </c>
      <c r="B384" s="1" t="s">
        <v>1384</v>
      </c>
      <c r="C384" s="1" t="s">
        <v>1385</v>
      </c>
      <c r="D384" s="1" t="s">
        <v>606</v>
      </c>
      <c r="E384" s="5" t="s">
        <v>16</v>
      </c>
      <c r="F384" s="8" t="s">
        <v>1447</v>
      </c>
      <c r="G384" s="10" t="s">
        <v>1392</v>
      </c>
      <c r="H384" s="10" t="s">
        <v>1393</v>
      </c>
      <c r="I384" s="10" t="s">
        <v>1406</v>
      </c>
      <c r="J384" s="8" t="s">
        <v>1452</v>
      </c>
      <c r="K384" s="6" t="s">
        <v>1453</v>
      </c>
      <c r="L384" s="9" t="s">
        <v>1266</v>
      </c>
      <c r="M384" s="2" t="n">
        <v>45119</v>
      </c>
    </row>
    <row r="385" customFormat="false" ht="27" hidden="false" customHeight="false" outlineLevel="0" collapsed="false">
      <c r="A385" s="1" t="n">
        <v>2022</v>
      </c>
      <c r="B385" s="1" t="s">
        <v>1384</v>
      </c>
      <c r="C385" s="1" t="s">
        <v>1385</v>
      </c>
      <c r="D385" s="1" t="s">
        <v>606</v>
      </c>
      <c r="E385" s="5" t="s">
        <v>16</v>
      </c>
      <c r="F385" s="8" t="s">
        <v>1447</v>
      </c>
      <c r="G385" s="10" t="s">
        <v>1392</v>
      </c>
      <c r="H385" s="10" t="s">
        <v>1393</v>
      </c>
      <c r="I385" s="10" t="s">
        <v>1406</v>
      </c>
      <c r="J385" s="8" t="s">
        <v>1454</v>
      </c>
      <c r="K385" s="6" t="s">
        <v>1455</v>
      </c>
      <c r="L385" s="9" t="s">
        <v>827</v>
      </c>
    </row>
    <row r="386" customFormat="false" ht="24.75" hidden="false" customHeight="false" outlineLevel="0" collapsed="false">
      <c r="A386" s="1" t="n">
        <v>2022</v>
      </c>
      <c r="B386" s="1" t="s">
        <v>1384</v>
      </c>
      <c r="C386" s="1" t="s">
        <v>1385</v>
      </c>
      <c r="D386" s="1" t="s">
        <v>606</v>
      </c>
      <c r="E386" s="5" t="s">
        <v>16</v>
      </c>
      <c r="F386" s="8" t="s">
        <v>1447</v>
      </c>
      <c r="G386" s="10" t="s">
        <v>1392</v>
      </c>
      <c r="H386" s="10" t="s">
        <v>1393</v>
      </c>
      <c r="I386" s="10" t="s">
        <v>1406</v>
      </c>
      <c r="J386" s="8" t="s">
        <v>1456</v>
      </c>
      <c r="K386" s="6" t="s">
        <v>1457</v>
      </c>
      <c r="L386" s="9" t="s">
        <v>827</v>
      </c>
    </row>
    <row r="387" customFormat="false" ht="49.5" hidden="false" customHeight="false" outlineLevel="0" collapsed="false">
      <c r="A387" s="1" t="n">
        <v>2022</v>
      </c>
      <c r="B387" s="1" t="s">
        <v>1384</v>
      </c>
      <c r="C387" s="1" t="s">
        <v>1385</v>
      </c>
      <c r="D387" s="1" t="s">
        <v>606</v>
      </c>
      <c r="E387" s="5" t="s">
        <v>16</v>
      </c>
      <c r="F387" s="8" t="s">
        <v>1458</v>
      </c>
      <c r="G387" s="10" t="s">
        <v>1459</v>
      </c>
      <c r="H387" s="10" t="s">
        <v>1460</v>
      </c>
      <c r="I387" s="10" t="s">
        <v>1461</v>
      </c>
      <c r="J387" s="8" t="s">
        <v>1462</v>
      </c>
      <c r="K387" s="6" t="s">
        <v>1463</v>
      </c>
      <c r="L387" s="9" t="s">
        <v>23</v>
      </c>
      <c r="M387" s="2" t="n">
        <v>45119</v>
      </c>
    </row>
    <row r="388" customFormat="false" ht="36" hidden="false" customHeight="false" outlineLevel="0" collapsed="false">
      <c r="A388" s="1" t="n">
        <v>2022</v>
      </c>
      <c r="B388" s="1" t="s">
        <v>1384</v>
      </c>
      <c r="C388" s="1" t="s">
        <v>1385</v>
      </c>
      <c r="D388" s="1" t="s">
        <v>606</v>
      </c>
      <c r="E388" s="5" t="s">
        <v>16</v>
      </c>
      <c r="F388" s="8" t="s">
        <v>1458</v>
      </c>
      <c r="G388" s="10" t="s">
        <v>1392</v>
      </c>
      <c r="H388" s="10" t="s">
        <v>1393</v>
      </c>
      <c r="I388" s="10" t="s">
        <v>1406</v>
      </c>
      <c r="J388" s="8" t="s">
        <v>1464</v>
      </c>
      <c r="K388" s="6" t="s">
        <v>1465</v>
      </c>
      <c r="L388" s="9" t="s">
        <v>827</v>
      </c>
    </row>
    <row r="389" customFormat="false" ht="27" hidden="false" customHeight="false" outlineLevel="0" collapsed="false">
      <c r="A389" s="1" t="n">
        <v>2022</v>
      </c>
      <c r="B389" s="1" t="s">
        <v>1384</v>
      </c>
      <c r="C389" s="1" t="s">
        <v>1385</v>
      </c>
      <c r="D389" s="1" t="s">
        <v>606</v>
      </c>
      <c r="E389" s="5" t="s">
        <v>16</v>
      </c>
      <c r="F389" s="8" t="s">
        <v>1458</v>
      </c>
      <c r="G389" s="10" t="s">
        <v>1392</v>
      </c>
      <c r="H389" s="10" t="s">
        <v>1393</v>
      </c>
      <c r="I389" s="10" t="s">
        <v>1406</v>
      </c>
      <c r="J389" s="8" t="s">
        <v>1466</v>
      </c>
      <c r="K389" s="6" t="s">
        <v>1467</v>
      </c>
      <c r="L389" s="9" t="s">
        <v>827</v>
      </c>
    </row>
    <row r="390" customFormat="false" ht="41.25" hidden="false" customHeight="false" outlineLevel="0" collapsed="false">
      <c r="A390" s="1" t="n">
        <v>2022</v>
      </c>
      <c r="B390" s="1" t="s">
        <v>1468</v>
      </c>
      <c r="C390" s="1" t="s">
        <v>1469</v>
      </c>
      <c r="D390" s="1" t="s">
        <v>458</v>
      </c>
      <c r="E390" s="5" t="s">
        <v>16</v>
      </c>
      <c r="F390" s="8" t="s">
        <v>1470</v>
      </c>
      <c r="G390" s="10" t="s">
        <v>1471</v>
      </c>
      <c r="H390" s="10" t="s">
        <v>1472</v>
      </c>
      <c r="I390" s="10" t="s">
        <v>1473</v>
      </c>
      <c r="J390" s="8" t="s">
        <v>1474</v>
      </c>
      <c r="K390" s="6" t="s">
        <v>1475</v>
      </c>
      <c r="L390" s="9" t="s">
        <v>827</v>
      </c>
    </row>
    <row r="391" customFormat="false" ht="27" hidden="false" customHeight="false" outlineLevel="0" collapsed="false">
      <c r="A391" s="1" t="n">
        <v>2022</v>
      </c>
      <c r="B391" s="1" t="s">
        <v>1468</v>
      </c>
      <c r="C391" s="1" t="s">
        <v>1469</v>
      </c>
      <c r="D391" s="1" t="s">
        <v>458</v>
      </c>
      <c r="E391" s="5" t="s">
        <v>16</v>
      </c>
      <c r="F391" s="8" t="s">
        <v>1470</v>
      </c>
      <c r="G391" s="10" t="s">
        <v>1392</v>
      </c>
      <c r="H391" s="10" t="s">
        <v>1476</v>
      </c>
      <c r="I391" s="10" t="s">
        <v>1477</v>
      </c>
      <c r="J391" s="8" t="s">
        <v>1478</v>
      </c>
      <c r="K391" s="6" t="s">
        <v>1479</v>
      </c>
      <c r="L391" s="9" t="s">
        <v>827</v>
      </c>
    </row>
    <row r="392" customFormat="false" ht="33" hidden="false" customHeight="false" outlineLevel="0" collapsed="false">
      <c r="A392" s="1" t="n">
        <v>2022</v>
      </c>
      <c r="B392" s="1" t="s">
        <v>1468</v>
      </c>
      <c r="C392" s="1" t="s">
        <v>1469</v>
      </c>
      <c r="D392" s="1" t="s">
        <v>458</v>
      </c>
      <c r="E392" s="5" t="s">
        <v>16</v>
      </c>
      <c r="F392" s="8" t="s">
        <v>1480</v>
      </c>
      <c r="G392" s="10" t="s">
        <v>1481</v>
      </c>
      <c r="H392" s="10" t="s">
        <v>1482</v>
      </c>
      <c r="I392" s="10" t="s">
        <v>1483</v>
      </c>
      <c r="J392" s="8" t="s">
        <v>1484</v>
      </c>
      <c r="K392" s="6" t="s">
        <v>1485</v>
      </c>
      <c r="L392" s="9" t="s">
        <v>827</v>
      </c>
    </row>
    <row r="393" customFormat="false" ht="22.5" hidden="false" customHeight="false" outlineLevel="0" collapsed="false">
      <c r="A393" s="1" t="n">
        <v>2022</v>
      </c>
      <c r="B393" s="1" t="s">
        <v>1468</v>
      </c>
      <c r="C393" s="1" t="s">
        <v>1469</v>
      </c>
      <c r="D393" s="1" t="s">
        <v>458</v>
      </c>
      <c r="E393" s="5" t="s">
        <v>16</v>
      </c>
      <c r="F393" s="8" t="s">
        <v>1480</v>
      </c>
      <c r="G393" s="10" t="s">
        <v>1392</v>
      </c>
      <c r="H393" s="10" t="s">
        <v>1392</v>
      </c>
      <c r="I393" s="10" t="s">
        <v>1483</v>
      </c>
      <c r="J393" s="8" t="s">
        <v>1486</v>
      </c>
      <c r="K393" s="6" t="s">
        <v>1487</v>
      </c>
      <c r="L393" s="9" t="s">
        <v>827</v>
      </c>
    </row>
    <row r="394" customFormat="false" ht="27" hidden="false" customHeight="false" outlineLevel="0" collapsed="false">
      <c r="A394" s="1" t="n">
        <v>2022</v>
      </c>
      <c r="B394" s="1" t="s">
        <v>1468</v>
      </c>
      <c r="C394" s="1" t="s">
        <v>1469</v>
      </c>
      <c r="D394" s="1" t="s">
        <v>458</v>
      </c>
      <c r="E394" s="5" t="s">
        <v>16</v>
      </c>
      <c r="F394" s="8" t="s">
        <v>1480</v>
      </c>
      <c r="G394" s="10" t="s">
        <v>1392</v>
      </c>
      <c r="H394" s="10" t="s">
        <v>1392</v>
      </c>
      <c r="I394" s="10" t="s">
        <v>1483</v>
      </c>
      <c r="J394" s="8" t="s">
        <v>1488</v>
      </c>
      <c r="K394" s="6" t="s">
        <v>1489</v>
      </c>
      <c r="L394" s="9" t="s">
        <v>827</v>
      </c>
    </row>
    <row r="395" customFormat="false" ht="107.25" hidden="false" customHeight="false" outlineLevel="0" collapsed="false">
      <c r="A395" s="1" t="n">
        <v>2022</v>
      </c>
      <c r="B395" s="1" t="s">
        <v>1468</v>
      </c>
      <c r="C395" s="1" t="s">
        <v>1469</v>
      </c>
      <c r="D395" s="1" t="s">
        <v>458</v>
      </c>
      <c r="E395" s="5" t="s">
        <v>16</v>
      </c>
      <c r="F395" s="8" t="s">
        <v>1490</v>
      </c>
      <c r="G395" s="10" t="s">
        <v>1491</v>
      </c>
      <c r="H395" s="10" t="s">
        <v>1492</v>
      </c>
      <c r="I395" s="10" t="s">
        <v>1493</v>
      </c>
      <c r="J395" s="8" t="s">
        <v>1494</v>
      </c>
      <c r="K395" s="6" t="s">
        <v>1495</v>
      </c>
      <c r="L395" s="9" t="s">
        <v>827</v>
      </c>
    </row>
    <row r="396" customFormat="false" ht="27" hidden="false" customHeight="false" outlineLevel="0" collapsed="false">
      <c r="A396" s="1" t="n">
        <v>2022</v>
      </c>
      <c r="B396" s="1" t="s">
        <v>1468</v>
      </c>
      <c r="C396" s="1" t="s">
        <v>1469</v>
      </c>
      <c r="D396" s="1" t="s">
        <v>458</v>
      </c>
      <c r="E396" s="5" t="s">
        <v>16</v>
      </c>
      <c r="F396" s="8" t="s">
        <v>1490</v>
      </c>
      <c r="G396" s="10" t="s">
        <v>1392</v>
      </c>
      <c r="H396" s="10" t="s">
        <v>1496</v>
      </c>
      <c r="I396" s="10" t="s">
        <v>1493</v>
      </c>
      <c r="J396" s="8" t="s">
        <v>1497</v>
      </c>
      <c r="K396" s="6" t="s">
        <v>1498</v>
      </c>
      <c r="L396" s="9" t="s">
        <v>827</v>
      </c>
    </row>
    <row r="397" customFormat="false" ht="90.75" hidden="false" customHeight="false" outlineLevel="0" collapsed="false">
      <c r="A397" s="1" t="n">
        <v>2022</v>
      </c>
      <c r="B397" s="1" t="s">
        <v>1468</v>
      </c>
      <c r="C397" s="1" t="s">
        <v>1469</v>
      </c>
      <c r="D397" s="1" t="s">
        <v>458</v>
      </c>
      <c r="E397" s="5" t="s">
        <v>16</v>
      </c>
      <c r="F397" s="8" t="s">
        <v>1499</v>
      </c>
      <c r="G397" s="10" t="s">
        <v>1500</v>
      </c>
      <c r="H397" s="10" t="s">
        <v>1501</v>
      </c>
      <c r="I397" s="10" t="s">
        <v>1502</v>
      </c>
      <c r="J397" s="8" t="s">
        <v>1503</v>
      </c>
      <c r="K397" s="6" t="s">
        <v>1504</v>
      </c>
      <c r="L397" s="9" t="s">
        <v>827</v>
      </c>
    </row>
    <row r="398" customFormat="false" ht="27" hidden="false" customHeight="false" outlineLevel="0" collapsed="false">
      <c r="A398" s="1" t="n">
        <v>2022</v>
      </c>
      <c r="B398" s="1" t="s">
        <v>1468</v>
      </c>
      <c r="C398" s="1" t="s">
        <v>1469</v>
      </c>
      <c r="D398" s="1" t="s">
        <v>458</v>
      </c>
      <c r="E398" s="5" t="s">
        <v>16</v>
      </c>
      <c r="F398" s="8" t="s">
        <v>1499</v>
      </c>
      <c r="G398" s="10" t="s">
        <v>1392</v>
      </c>
      <c r="H398" s="10" t="s">
        <v>1505</v>
      </c>
      <c r="I398" s="10" t="s">
        <v>1506</v>
      </c>
      <c r="J398" s="8" t="s">
        <v>1507</v>
      </c>
      <c r="K398" s="6" t="s">
        <v>1508</v>
      </c>
      <c r="L398" s="9" t="s">
        <v>827</v>
      </c>
    </row>
    <row r="399" customFormat="false" ht="66" hidden="false" customHeight="false" outlineLevel="0" collapsed="false">
      <c r="A399" s="1" t="n">
        <v>2022</v>
      </c>
      <c r="B399" s="1" t="s">
        <v>1468</v>
      </c>
      <c r="C399" s="1" t="s">
        <v>1469</v>
      </c>
      <c r="D399" s="1" t="s">
        <v>458</v>
      </c>
      <c r="E399" s="5" t="s">
        <v>16</v>
      </c>
      <c r="F399" s="8" t="s">
        <v>1509</v>
      </c>
      <c r="G399" s="10" t="s">
        <v>1510</v>
      </c>
      <c r="H399" s="10" t="s">
        <v>1511</v>
      </c>
      <c r="I399" s="10" t="s">
        <v>1512</v>
      </c>
      <c r="J399" s="8" t="s">
        <v>1513</v>
      </c>
      <c r="K399" s="6" t="s">
        <v>1514</v>
      </c>
      <c r="L399" s="9" t="s">
        <v>827</v>
      </c>
    </row>
    <row r="400" customFormat="false" ht="36" hidden="false" customHeight="false" outlineLevel="0" collapsed="false">
      <c r="A400" s="1" t="n">
        <v>2022</v>
      </c>
      <c r="B400" s="1" t="s">
        <v>1468</v>
      </c>
      <c r="C400" s="1" t="s">
        <v>1469</v>
      </c>
      <c r="D400" s="1" t="s">
        <v>458</v>
      </c>
      <c r="E400" s="5" t="s">
        <v>16</v>
      </c>
      <c r="F400" s="8" t="s">
        <v>1509</v>
      </c>
      <c r="G400" s="10" t="s">
        <v>1392</v>
      </c>
      <c r="H400" s="10" t="s">
        <v>1515</v>
      </c>
      <c r="I400" s="10" t="s">
        <v>1512</v>
      </c>
      <c r="J400" s="8" t="s">
        <v>1516</v>
      </c>
      <c r="K400" s="6" t="s">
        <v>1517</v>
      </c>
      <c r="L400" s="9" t="s">
        <v>827</v>
      </c>
    </row>
    <row r="401" customFormat="false" ht="24.75" hidden="false" customHeight="false" outlineLevel="0" collapsed="false">
      <c r="A401" s="1" t="n">
        <v>2022</v>
      </c>
      <c r="B401" s="1" t="s">
        <v>1468</v>
      </c>
      <c r="C401" s="1" t="s">
        <v>1469</v>
      </c>
      <c r="D401" s="1" t="s">
        <v>458</v>
      </c>
      <c r="E401" s="5" t="s">
        <v>16</v>
      </c>
      <c r="F401" s="8" t="s">
        <v>1509</v>
      </c>
      <c r="G401" s="10" t="s">
        <v>1392</v>
      </c>
      <c r="H401" s="10" t="s">
        <v>1518</v>
      </c>
      <c r="I401" s="10" t="s">
        <v>1512</v>
      </c>
      <c r="J401" s="8" t="s">
        <v>1519</v>
      </c>
      <c r="K401" s="6" t="s">
        <v>1520</v>
      </c>
      <c r="L401" s="9" t="s">
        <v>827</v>
      </c>
    </row>
    <row r="402" customFormat="false" ht="33" hidden="false" customHeight="false" outlineLevel="0" collapsed="false">
      <c r="A402" s="1" t="n">
        <v>2022</v>
      </c>
      <c r="B402" s="1" t="s">
        <v>1468</v>
      </c>
      <c r="C402" s="1" t="s">
        <v>1469</v>
      </c>
      <c r="D402" s="1" t="s">
        <v>458</v>
      </c>
      <c r="E402" s="5" t="s">
        <v>16</v>
      </c>
      <c r="F402" s="8" t="s">
        <v>1521</v>
      </c>
      <c r="G402" s="10" t="s">
        <v>1522</v>
      </c>
      <c r="H402" s="10" t="s">
        <v>1523</v>
      </c>
      <c r="I402" s="10" t="s">
        <v>1524</v>
      </c>
      <c r="J402" s="8" t="s">
        <v>1525</v>
      </c>
      <c r="K402" s="6" t="s">
        <v>1526</v>
      </c>
      <c r="L402" s="9" t="s">
        <v>827</v>
      </c>
    </row>
    <row r="403" customFormat="false" ht="27" hidden="false" customHeight="false" outlineLevel="0" collapsed="false">
      <c r="A403" s="1" t="n">
        <v>2022</v>
      </c>
      <c r="B403" s="1" t="s">
        <v>1468</v>
      </c>
      <c r="C403" s="1" t="s">
        <v>1469</v>
      </c>
      <c r="D403" s="1" t="s">
        <v>458</v>
      </c>
      <c r="E403" s="5" t="s">
        <v>16</v>
      </c>
      <c r="F403" s="8" t="s">
        <v>1521</v>
      </c>
      <c r="G403" s="10" t="s">
        <v>1392</v>
      </c>
      <c r="H403" s="10" t="s">
        <v>1527</v>
      </c>
      <c r="I403" s="10" t="s">
        <v>1528</v>
      </c>
      <c r="J403" s="8" t="s">
        <v>1529</v>
      </c>
      <c r="K403" s="6" t="s">
        <v>1530</v>
      </c>
      <c r="L403" s="9" t="s">
        <v>827</v>
      </c>
    </row>
    <row r="404" customFormat="false" ht="22.5" hidden="false" customHeight="false" outlineLevel="0" collapsed="false">
      <c r="A404" s="1" t="n">
        <v>2022</v>
      </c>
      <c r="B404" s="1" t="s">
        <v>1468</v>
      </c>
      <c r="C404" s="1" t="s">
        <v>1469</v>
      </c>
      <c r="D404" s="1" t="s">
        <v>458</v>
      </c>
      <c r="E404" s="5" t="s">
        <v>16</v>
      </c>
      <c r="F404" s="8" t="s">
        <v>1521</v>
      </c>
      <c r="G404" s="10" t="s">
        <v>1392</v>
      </c>
      <c r="H404" s="10" t="s">
        <v>1531</v>
      </c>
      <c r="I404" s="10" t="s">
        <v>1532</v>
      </c>
      <c r="J404" s="8" t="s">
        <v>1533</v>
      </c>
      <c r="K404" s="6" t="s">
        <v>1534</v>
      </c>
      <c r="L404" s="9" t="s">
        <v>827</v>
      </c>
    </row>
    <row r="405" customFormat="false" ht="57.75" hidden="false" customHeight="false" outlineLevel="0" collapsed="false">
      <c r="A405" s="1" t="n">
        <v>2022</v>
      </c>
      <c r="B405" s="1" t="s">
        <v>1468</v>
      </c>
      <c r="C405" s="1" t="s">
        <v>1469</v>
      </c>
      <c r="D405" s="1" t="s">
        <v>458</v>
      </c>
      <c r="E405" s="5" t="s">
        <v>16</v>
      </c>
      <c r="F405" s="8" t="s">
        <v>1535</v>
      </c>
      <c r="G405" s="10" t="s">
        <v>1536</v>
      </c>
      <c r="H405" s="10" t="s">
        <v>1537</v>
      </c>
      <c r="I405" s="10" t="s">
        <v>1538</v>
      </c>
      <c r="J405" s="8" t="s">
        <v>1539</v>
      </c>
      <c r="K405" s="6" t="s">
        <v>1540</v>
      </c>
      <c r="L405" s="9" t="s">
        <v>827</v>
      </c>
    </row>
    <row r="406" customFormat="false" ht="33" hidden="false" customHeight="false" outlineLevel="0" collapsed="false">
      <c r="A406" s="1" t="n">
        <v>2022</v>
      </c>
      <c r="B406" s="1" t="s">
        <v>1468</v>
      </c>
      <c r="C406" s="1" t="s">
        <v>1469</v>
      </c>
      <c r="D406" s="1" t="s">
        <v>458</v>
      </c>
      <c r="E406" s="5" t="s">
        <v>16</v>
      </c>
      <c r="F406" s="8" t="s">
        <v>1535</v>
      </c>
      <c r="G406" s="10" t="s">
        <v>1392</v>
      </c>
      <c r="H406" s="10" t="s">
        <v>1541</v>
      </c>
      <c r="I406" s="10" t="s">
        <v>1538</v>
      </c>
      <c r="J406" s="8" t="s">
        <v>1542</v>
      </c>
      <c r="K406" s="6" t="s">
        <v>1543</v>
      </c>
      <c r="L406" s="9" t="s">
        <v>827</v>
      </c>
    </row>
    <row r="407" customFormat="false" ht="36" hidden="false" customHeight="false" outlineLevel="0" collapsed="false">
      <c r="A407" s="1" t="n">
        <v>2022</v>
      </c>
      <c r="B407" s="1" t="s">
        <v>1468</v>
      </c>
      <c r="C407" s="1" t="s">
        <v>1469</v>
      </c>
      <c r="D407" s="1" t="s">
        <v>458</v>
      </c>
      <c r="E407" s="5" t="s">
        <v>16</v>
      </c>
      <c r="F407" s="8" t="s">
        <v>1535</v>
      </c>
      <c r="G407" s="10" t="s">
        <v>1392</v>
      </c>
      <c r="H407" s="10" t="s">
        <v>1544</v>
      </c>
      <c r="I407" s="10" t="s">
        <v>1538</v>
      </c>
      <c r="J407" s="8" t="s">
        <v>1545</v>
      </c>
      <c r="K407" s="6" t="s">
        <v>1546</v>
      </c>
      <c r="L407" s="9" t="s">
        <v>827</v>
      </c>
    </row>
    <row r="408" customFormat="false" ht="36" hidden="false" customHeight="false" outlineLevel="0" collapsed="false">
      <c r="A408" s="1" t="n">
        <v>2023</v>
      </c>
      <c r="B408" s="1" t="s">
        <v>1547</v>
      </c>
      <c r="C408" s="1" t="s">
        <v>1548</v>
      </c>
      <c r="D408" s="1" t="s">
        <v>1549</v>
      </c>
      <c r="E408" s="5" t="s">
        <v>16</v>
      </c>
      <c r="F408" s="8" t="s">
        <v>1550</v>
      </c>
      <c r="G408" s="10" t="s">
        <v>1551</v>
      </c>
      <c r="H408" s="10" t="s">
        <v>1552</v>
      </c>
      <c r="I408" s="10" t="s">
        <v>1553</v>
      </c>
      <c r="J408" s="8" t="s">
        <v>1554</v>
      </c>
      <c r="K408" s="6" t="s">
        <v>1555</v>
      </c>
      <c r="L408" s="9" t="s">
        <v>23</v>
      </c>
      <c r="M408" s="2" t="n">
        <v>45120</v>
      </c>
    </row>
    <row r="409" customFormat="false" ht="27" hidden="false" customHeight="false" outlineLevel="0" collapsed="false">
      <c r="A409" s="1" t="n">
        <v>2023</v>
      </c>
      <c r="B409" s="1" t="s">
        <v>1547</v>
      </c>
      <c r="C409" s="1" t="s">
        <v>1548</v>
      </c>
      <c r="D409" s="1" t="s">
        <v>1549</v>
      </c>
      <c r="E409" s="5" t="s">
        <v>16</v>
      </c>
      <c r="F409" s="8" t="s">
        <v>1550</v>
      </c>
      <c r="G409" s="10" t="s">
        <v>1392</v>
      </c>
      <c r="H409" s="10" t="s">
        <v>1392</v>
      </c>
      <c r="I409" s="10" t="s">
        <v>1553</v>
      </c>
      <c r="J409" s="8" t="s">
        <v>1556</v>
      </c>
      <c r="K409" s="6" t="s">
        <v>1557</v>
      </c>
      <c r="L409" s="9" t="s">
        <v>827</v>
      </c>
    </row>
    <row r="410" customFormat="false" ht="27" hidden="false" customHeight="false" outlineLevel="0" collapsed="false">
      <c r="A410" s="1" t="n">
        <v>2023</v>
      </c>
      <c r="B410" s="1" t="s">
        <v>1547</v>
      </c>
      <c r="C410" s="1" t="s">
        <v>1548</v>
      </c>
      <c r="D410" s="1" t="s">
        <v>1549</v>
      </c>
      <c r="E410" s="5" t="s">
        <v>16</v>
      </c>
      <c r="F410" s="8" t="s">
        <v>1550</v>
      </c>
      <c r="G410" s="10" t="s">
        <v>1392</v>
      </c>
      <c r="H410" s="10" t="s">
        <v>1392</v>
      </c>
      <c r="I410" s="10" t="s">
        <v>1558</v>
      </c>
      <c r="J410" s="8" t="s">
        <v>1559</v>
      </c>
      <c r="K410" s="6" t="s">
        <v>1560</v>
      </c>
      <c r="L410" s="9" t="s">
        <v>827</v>
      </c>
    </row>
    <row r="411" customFormat="false" ht="27" hidden="false" customHeight="false" outlineLevel="0" collapsed="false">
      <c r="A411" s="1" t="n">
        <v>2023</v>
      </c>
      <c r="B411" s="1" t="s">
        <v>1547</v>
      </c>
      <c r="C411" s="1" t="s">
        <v>1548</v>
      </c>
      <c r="D411" s="1" t="s">
        <v>1549</v>
      </c>
      <c r="E411" s="5" t="s">
        <v>16</v>
      </c>
      <c r="F411" s="8" t="s">
        <v>1550</v>
      </c>
      <c r="G411" s="10" t="s">
        <v>1392</v>
      </c>
      <c r="H411" s="10" t="s">
        <v>1392</v>
      </c>
      <c r="I411" s="10" t="s">
        <v>1558</v>
      </c>
      <c r="J411" s="8" t="s">
        <v>1561</v>
      </c>
      <c r="K411" s="6" t="s">
        <v>1562</v>
      </c>
      <c r="L411" s="9" t="s">
        <v>827</v>
      </c>
    </row>
    <row r="412" customFormat="false" ht="36" hidden="false" customHeight="false" outlineLevel="0" collapsed="false">
      <c r="A412" s="1" t="n">
        <v>2023</v>
      </c>
      <c r="B412" s="1" t="s">
        <v>1547</v>
      </c>
      <c r="C412" s="1" t="s">
        <v>1548</v>
      </c>
      <c r="D412" s="1" t="s">
        <v>1549</v>
      </c>
      <c r="E412" s="5" t="s">
        <v>16</v>
      </c>
      <c r="F412" s="8" t="s">
        <v>1563</v>
      </c>
      <c r="G412" s="10" t="s">
        <v>1564</v>
      </c>
      <c r="H412" s="10" t="s">
        <v>1565</v>
      </c>
      <c r="I412" s="10" t="s">
        <v>1566</v>
      </c>
      <c r="J412" s="8" t="s">
        <v>1567</v>
      </c>
      <c r="K412" s="6" t="s">
        <v>1568</v>
      </c>
      <c r="L412" s="9" t="s">
        <v>23</v>
      </c>
      <c r="M412" s="2" t="n">
        <v>45120</v>
      </c>
    </row>
    <row r="413" customFormat="false" ht="36" hidden="false" customHeight="false" outlineLevel="0" collapsed="false">
      <c r="A413" s="1" t="n">
        <v>2023</v>
      </c>
      <c r="B413" s="1" t="s">
        <v>1547</v>
      </c>
      <c r="C413" s="1" t="s">
        <v>1548</v>
      </c>
      <c r="D413" s="1" t="s">
        <v>1549</v>
      </c>
      <c r="E413" s="5" t="s">
        <v>16</v>
      </c>
      <c r="F413" s="8" t="s">
        <v>1563</v>
      </c>
      <c r="G413" s="10" t="s">
        <v>1392</v>
      </c>
      <c r="H413" s="10" t="s">
        <v>1392</v>
      </c>
      <c r="I413" s="10" t="s">
        <v>1553</v>
      </c>
      <c r="J413" s="8" t="s">
        <v>1569</v>
      </c>
      <c r="K413" s="6" t="s">
        <v>1570</v>
      </c>
      <c r="L413" s="9" t="s">
        <v>827</v>
      </c>
    </row>
    <row r="414" customFormat="false" ht="36" hidden="false" customHeight="false" outlineLevel="0" collapsed="false">
      <c r="A414" s="1" t="n">
        <v>2023</v>
      </c>
      <c r="B414" s="1" t="s">
        <v>1547</v>
      </c>
      <c r="C414" s="1" t="s">
        <v>1548</v>
      </c>
      <c r="D414" s="1" t="s">
        <v>1549</v>
      </c>
      <c r="E414" s="5" t="s">
        <v>16</v>
      </c>
      <c r="F414" s="8" t="s">
        <v>1563</v>
      </c>
      <c r="G414" s="10" t="s">
        <v>1392</v>
      </c>
      <c r="H414" s="10" t="s">
        <v>1392</v>
      </c>
      <c r="I414" s="10" t="s">
        <v>1566</v>
      </c>
      <c r="J414" s="8" t="s">
        <v>1571</v>
      </c>
      <c r="K414" s="6" t="s">
        <v>1572</v>
      </c>
      <c r="L414" s="9" t="s">
        <v>827</v>
      </c>
    </row>
    <row r="415" customFormat="false" ht="67.5" hidden="false" customHeight="false" outlineLevel="0" collapsed="false">
      <c r="A415" s="1" t="n">
        <v>2022</v>
      </c>
      <c r="B415" s="1" t="n">
        <v>480</v>
      </c>
      <c r="C415" s="1" t="s">
        <v>1573</v>
      </c>
      <c r="D415" s="1" t="s">
        <v>498</v>
      </c>
      <c r="E415" s="1" t="s">
        <v>1574</v>
      </c>
      <c r="F415" s="8" t="s">
        <v>1575</v>
      </c>
      <c r="G415" s="10" t="s">
        <v>1576</v>
      </c>
      <c r="I415" s="10" t="s">
        <v>1577</v>
      </c>
      <c r="J415" s="8" t="s">
        <v>1578</v>
      </c>
      <c r="K415" s="6" t="s">
        <v>1579</v>
      </c>
      <c r="L415" s="9" t="s">
        <v>23</v>
      </c>
      <c r="M415" s="2" t="n">
        <v>45128</v>
      </c>
    </row>
    <row r="416" customFormat="false" ht="67.5" hidden="false" customHeight="false" outlineLevel="0" collapsed="false">
      <c r="A416" s="1" t="n">
        <v>2022</v>
      </c>
      <c r="B416" s="1" t="n">
        <v>480</v>
      </c>
      <c r="C416" s="1" t="s">
        <v>1573</v>
      </c>
      <c r="D416" s="1" t="s">
        <v>498</v>
      </c>
      <c r="E416" s="1" t="s">
        <v>1574</v>
      </c>
      <c r="F416" s="8" t="s">
        <v>1580</v>
      </c>
      <c r="G416" s="10" t="s">
        <v>1581</v>
      </c>
      <c r="I416" s="10" t="s">
        <v>1582</v>
      </c>
      <c r="J416" s="8" t="s">
        <v>1583</v>
      </c>
      <c r="K416" s="6" t="s">
        <v>1584</v>
      </c>
      <c r="L416" s="9" t="s">
        <v>1266</v>
      </c>
      <c r="M416" s="2" t="n">
        <v>45128</v>
      </c>
    </row>
    <row r="417" customFormat="false" ht="67.5" hidden="false" customHeight="false" outlineLevel="0" collapsed="false">
      <c r="A417" s="1" t="n">
        <v>2022</v>
      </c>
      <c r="B417" s="1" t="n">
        <v>480</v>
      </c>
      <c r="C417" s="1" t="s">
        <v>1573</v>
      </c>
      <c r="D417" s="1" t="s">
        <v>498</v>
      </c>
      <c r="E417" s="1" t="s">
        <v>1574</v>
      </c>
      <c r="F417" s="8" t="s">
        <v>1585</v>
      </c>
      <c r="G417" s="10" t="s">
        <v>1586</v>
      </c>
      <c r="I417" s="10" t="s">
        <v>1582</v>
      </c>
      <c r="J417" s="8" t="s">
        <v>1587</v>
      </c>
      <c r="K417" s="6" t="s">
        <v>1588</v>
      </c>
      <c r="L417" s="9" t="s">
        <v>1266</v>
      </c>
      <c r="M417" s="2" t="n">
        <v>45128</v>
      </c>
    </row>
    <row r="418" customFormat="false" ht="67.5" hidden="false" customHeight="false" outlineLevel="0" collapsed="false">
      <c r="A418" s="1" t="n">
        <v>2022</v>
      </c>
      <c r="B418" s="1" t="n">
        <v>480</v>
      </c>
      <c r="C418" s="1" t="s">
        <v>1573</v>
      </c>
      <c r="D418" s="1" t="s">
        <v>498</v>
      </c>
      <c r="E418" s="1" t="s">
        <v>1574</v>
      </c>
      <c r="F418" s="8" t="s">
        <v>1589</v>
      </c>
      <c r="G418" s="10" t="s">
        <v>1590</v>
      </c>
      <c r="I418" s="10" t="s">
        <v>1591</v>
      </c>
      <c r="J418" s="8" t="s">
        <v>1592</v>
      </c>
      <c r="K418" s="6" t="s">
        <v>1593</v>
      </c>
      <c r="L418" s="9" t="s">
        <v>1266</v>
      </c>
      <c r="M418" s="2" t="n">
        <v>45128</v>
      </c>
    </row>
    <row r="419" customFormat="false" ht="67.5" hidden="false" customHeight="false" outlineLevel="0" collapsed="false">
      <c r="A419" s="1" t="n">
        <v>2022</v>
      </c>
      <c r="B419" s="1" t="n">
        <v>480</v>
      </c>
      <c r="C419" s="1" t="s">
        <v>1573</v>
      </c>
      <c r="D419" s="1" t="s">
        <v>498</v>
      </c>
      <c r="E419" s="1" t="s">
        <v>1574</v>
      </c>
      <c r="F419" s="8" t="s">
        <v>1589</v>
      </c>
      <c r="G419" s="10" t="s">
        <v>1590</v>
      </c>
      <c r="I419" s="10" t="s">
        <v>1591</v>
      </c>
      <c r="J419" s="8" t="s">
        <v>1594</v>
      </c>
      <c r="K419" s="6" t="s">
        <v>1595</v>
      </c>
      <c r="L419" s="9" t="s">
        <v>1266</v>
      </c>
      <c r="M419" s="2" t="n">
        <v>45128</v>
      </c>
    </row>
    <row r="420" customFormat="false" ht="67.5" hidden="false" customHeight="false" outlineLevel="0" collapsed="false">
      <c r="A420" s="1" t="n">
        <v>2022</v>
      </c>
      <c r="B420" s="1" t="n">
        <v>480</v>
      </c>
      <c r="C420" s="1" t="s">
        <v>1573</v>
      </c>
      <c r="D420" s="1" t="s">
        <v>498</v>
      </c>
      <c r="E420" s="1" t="s">
        <v>1574</v>
      </c>
      <c r="F420" s="8" t="s">
        <v>1596</v>
      </c>
      <c r="G420" s="10" t="s">
        <v>1597</v>
      </c>
      <c r="I420" s="10" t="s">
        <v>1591</v>
      </c>
      <c r="J420" s="8" t="s">
        <v>1598</v>
      </c>
      <c r="K420" s="6" t="s">
        <v>1599</v>
      </c>
      <c r="L420" s="9" t="s">
        <v>1266</v>
      </c>
      <c r="M420" s="2" t="n">
        <v>45128</v>
      </c>
    </row>
    <row r="421" customFormat="false" ht="67.5" hidden="false" customHeight="false" outlineLevel="0" collapsed="false">
      <c r="A421" s="1" t="n">
        <v>2022</v>
      </c>
      <c r="B421" s="1" t="n">
        <v>480</v>
      </c>
      <c r="C421" s="1" t="s">
        <v>1573</v>
      </c>
      <c r="D421" s="1" t="s">
        <v>498</v>
      </c>
      <c r="E421" s="1" t="s">
        <v>1574</v>
      </c>
      <c r="F421" s="8" t="s">
        <v>1600</v>
      </c>
      <c r="G421" s="10" t="s">
        <v>1601</v>
      </c>
      <c r="I421" s="10" t="s">
        <v>1602</v>
      </c>
      <c r="J421" s="8" t="s">
        <v>1603</v>
      </c>
      <c r="K421" s="6" t="s">
        <v>1604</v>
      </c>
      <c r="L421" s="9" t="s">
        <v>827</v>
      </c>
    </row>
    <row r="422" customFormat="false" ht="67.5" hidden="false" customHeight="false" outlineLevel="0" collapsed="false">
      <c r="A422" s="1" t="n">
        <v>2022</v>
      </c>
      <c r="B422" s="1" t="n">
        <v>480</v>
      </c>
      <c r="C422" s="1" t="s">
        <v>1573</v>
      </c>
      <c r="D422" s="1" t="s">
        <v>498</v>
      </c>
      <c r="E422" s="1" t="s">
        <v>1574</v>
      </c>
      <c r="F422" s="8" t="s">
        <v>1600</v>
      </c>
      <c r="G422" s="10" t="s">
        <v>1601</v>
      </c>
      <c r="I422" s="10" t="s">
        <v>1602</v>
      </c>
      <c r="J422" s="8" t="s">
        <v>1605</v>
      </c>
      <c r="K422" s="6" t="s">
        <v>1606</v>
      </c>
      <c r="L422" s="9" t="s">
        <v>827</v>
      </c>
    </row>
    <row r="423" customFormat="false" ht="67.5" hidden="false" customHeight="false" outlineLevel="0" collapsed="false">
      <c r="A423" s="1" t="n">
        <v>2022</v>
      </c>
      <c r="B423" s="1" t="n">
        <v>480</v>
      </c>
      <c r="C423" s="1" t="s">
        <v>1573</v>
      </c>
      <c r="D423" s="1" t="s">
        <v>498</v>
      </c>
      <c r="E423" s="1" t="s">
        <v>1574</v>
      </c>
      <c r="F423" s="8" t="s">
        <v>1607</v>
      </c>
      <c r="G423" s="10" t="s">
        <v>1608</v>
      </c>
      <c r="I423" s="10" t="s">
        <v>1602</v>
      </c>
      <c r="J423" s="8" t="s">
        <v>1609</v>
      </c>
      <c r="K423" s="6" t="s">
        <v>1610</v>
      </c>
      <c r="L423" s="9" t="s">
        <v>1266</v>
      </c>
      <c r="M423" s="2" t="n">
        <v>45128</v>
      </c>
    </row>
    <row r="424" customFormat="false" ht="67.5" hidden="false" customHeight="false" outlineLevel="0" collapsed="false">
      <c r="A424" s="1" t="n">
        <v>2022</v>
      </c>
      <c r="B424" s="1" t="n">
        <v>480</v>
      </c>
      <c r="C424" s="1" t="s">
        <v>1573</v>
      </c>
      <c r="D424" s="1" t="s">
        <v>498</v>
      </c>
      <c r="E424" s="1" t="s">
        <v>1574</v>
      </c>
      <c r="F424" s="8" t="s">
        <v>1611</v>
      </c>
      <c r="G424" s="10" t="s">
        <v>1612</v>
      </c>
      <c r="I424" s="10" t="s">
        <v>1602</v>
      </c>
      <c r="J424" s="8" t="s">
        <v>1613</v>
      </c>
      <c r="K424" s="6" t="s">
        <v>1614</v>
      </c>
      <c r="L424" s="9" t="s">
        <v>827</v>
      </c>
    </row>
    <row r="425" customFormat="false" ht="67.5" hidden="false" customHeight="false" outlineLevel="0" collapsed="false">
      <c r="A425" s="1" t="n">
        <v>2022</v>
      </c>
      <c r="B425" s="1" t="n">
        <v>480</v>
      </c>
      <c r="C425" s="1" t="s">
        <v>1573</v>
      </c>
      <c r="D425" s="1" t="s">
        <v>498</v>
      </c>
      <c r="E425" s="1" t="s">
        <v>1574</v>
      </c>
      <c r="F425" s="8" t="s">
        <v>1611</v>
      </c>
      <c r="G425" s="10" t="s">
        <v>1612</v>
      </c>
      <c r="I425" s="10" t="s">
        <v>1602</v>
      </c>
      <c r="J425" s="8" t="s">
        <v>1615</v>
      </c>
      <c r="K425" s="6" t="s">
        <v>1616</v>
      </c>
      <c r="L425" s="9" t="s">
        <v>827</v>
      </c>
    </row>
    <row r="426" customFormat="false" ht="67.5" hidden="false" customHeight="false" outlineLevel="0" collapsed="false">
      <c r="A426" s="1" t="n">
        <v>2022</v>
      </c>
      <c r="B426" s="1" t="n">
        <v>480</v>
      </c>
      <c r="C426" s="1" t="s">
        <v>1573</v>
      </c>
      <c r="D426" s="1" t="s">
        <v>498</v>
      </c>
      <c r="E426" s="1" t="s">
        <v>1574</v>
      </c>
      <c r="F426" s="8" t="s">
        <v>1617</v>
      </c>
      <c r="G426" s="10" t="s">
        <v>1618</v>
      </c>
      <c r="I426" s="10" t="s">
        <v>1602</v>
      </c>
      <c r="J426" s="8" t="s">
        <v>1619</v>
      </c>
      <c r="K426" s="6" t="s">
        <v>1620</v>
      </c>
      <c r="L426" s="9" t="s">
        <v>1266</v>
      </c>
      <c r="M426" s="2" t="n">
        <v>45128</v>
      </c>
    </row>
    <row r="427" customFormat="false" ht="67.5" hidden="false" customHeight="false" outlineLevel="0" collapsed="false">
      <c r="A427" s="1" t="n">
        <v>2022</v>
      </c>
      <c r="B427" s="1" t="n">
        <v>480</v>
      </c>
      <c r="C427" s="1" t="s">
        <v>1573</v>
      </c>
      <c r="D427" s="1" t="s">
        <v>498</v>
      </c>
      <c r="E427" s="1" t="s">
        <v>1574</v>
      </c>
      <c r="F427" s="8" t="s">
        <v>1621</v>
      </c>
      <c r="G427" s="10" t="s">
        <v>1622</v>
      </c>
      <c r="I427" s="10" t="s">
        <v>1577</v>
      </c>
      <c r="J427" s="8" t="s">
        <v>1623</v>
      </c>
      <c r="K427" s="6" t="s">
        <v>1624</v>
      </c>
      <c r="L427" s="9" t="s">
        <v>1266</v>
      </c>
      <c r="M427" s="2" t="n">
        <v>45128</v>
      </c>
    </row>
    <row r="428" customFormat="false" ht="67.5" hidden="false" customHeight="false" outlineLevel="0" collapsed="false">
      <c r="A428" s="1" t="n">
        <v>2022</v>
      </c>
      <c r="B428" s="1" t="n">
        <v>480</v>
      </c>
      <c r="C428" s="1" t="s">
        <v>1573</v>
      </c>
      <c r="D428" s="1" t="s">
        <v>498</v>
      </c>
      <c r="E428" s="1" t="s">
        <v>1574</v>
      </c>
      <c r="F428" s="8" t="s">
        <v>1625</v>
      </c>
      <c r="G428" s="10" t="s">
        <v>1626</v>
      </c>
      <c r="I428" s="10" t="s">
        <v>1602</v>
      </c>
      <c r="J428" s="8" t="s">
        <v>1627</v>
      </c>
      <c r="K428" s="6" t="s">
        <v>1628</v>
      </c>
      <c r="L428" s="9" t="s">
        <v>1266</v>
      </c>
      <c r="M428" s="2" t="n">
        <v>45128</v>
      </c>
    </row>
    <row r="429" customFormat="false" ht="67.5" hidden="false" customHeight="false" outlineLevel="0" collapsed="false">
      <c r="A429" s="1" t="n">
        <v>2022</v>
      </c>
      <c r="B429" s="1" t="n">
        <v>480</v>
      </c>
      <c r="C429" s="1" t="s">
        <v>1573</v>
      </c>
      <c r="D429" s="1" t="s">
        <v>498</v>
      </c>
      <c r="E429" s="1" t="s">
        <v>1574</v>
      </c>
      <c r="F429" s="8" t="s">
        <v>1629</v>
      </c>
      <c r="G429" s="10" t="s">
        <v>1630</v>
      </c>
      <c r="I429" s="10" t="s">
        <v>1631</v>
      </c>
      <c r="J429" s="8" t="s">
        <v>1632</v>
      </c>
      <c r="K429" s="6" t="s">
        <v>1633</v>
      </c>
      <c r="L429" s="9" t="s">
        <v>1266</v>
      </c>
      <c r="M429" s="2" t="n">
        <v>45128</v>
      </c>
    </row>
    <row r="430" customFormat="false" ht="49.5" hidden="false" customHeight="false" outlineLevel="0" collapsed="false">
      <c r="A430" s="1" t="n">
        <v>2023</v>
      </c>
      <c r="B430" s="1" t="n">
        <v>492</v>
      </c>
      <c r="C430" s="1" t="s">
        <v>1634</v>
      </c>
      <c r="D430" s="1" t="s">
        <v>498</v>
      </c>
      <c r="E430" s="1" t="s">
        <v>1574</v>
      </c>
      <c r="F430" s="8" t="s">
        <v>1635</v>
      </c>
      <c r="G430" s="10" t="s">
        <v>1636</v>
      </c>
      <c r="I430" s="10" t="s">
        <v>1637</v>
      </c>
      <c r="J430" s="8" t="s">
        <v>1638</v>
      </c>
      <c r="K430" s="6" t="s">
        <v>1639</v>
      </c>
      <c r="L430" s="9" t="s">
        <v>827</v>
      </c>
    </row>
    <row r="431" customFormat="false" ht="54" hidden="false" customHeight="false" outlineLevel="0" collapsed="false">
      <c r="A431" s="1" t="n">
        <v>2023</v>
      </c>
      <c r="B431" s="1" t="n">
        <v>492</v>
      </c>
      <c r="C431" s="1" t="s">
        <v>1634</v>
      </c>
      <c r="D431" s="1" t="s">
        <v>498</v>
      </c>
      <c r="E431" s="1" t="s">
        <v>1574</v>
      </c>
      <c r="F431" s="8" t="s">
        <v>1640</v>
      </c>
      <c r="G431" s="10" t="s">
        <v>1641</v>
      </c>
      <c r="I431" s="10" t="s">
        <v>1602</v>
      </c>
      <c r="J431" s="8" t="s">
        <v>1642</v>
      </c>
      <c r="K431" s="6" t="s">
        <v>1643</v>
      </c>
      <c r="L431" s="9" t="s">
        <v>827</v>
      </c>
    </row>
    <row r="432" customFormat="false" ht="45" hidden="false" customHeight="false" outlineLevel="0" collapsed="false">
      <c r="A432" s="1" t="n">
        <v>2023</v>
      </c>
      <c r="B432" s="1" t="n">
        <v>492</v>
      </c>
      <c r="C432" s="1" t="s">
        <v>1634</v>
      </c>
      <c r="D432" s="1" t="s">
        <v>498</v>
      </c>
      <c r="E432" s="1" t="s">
        <v>1574</v>
      </c>
      <c r="F432" s="8" t="s">
        <v>1644</v>
      </c>
      <c r="G432" s="10" t="s">
        <v>1645</v>
      </c>
      <c r="I432" s="10" t="s">
        <v>1602</v>
      </c>
      <c r="J432" s="8" t="s">
        <v>1646</v>
      </c>
      <c r="K432" s="6" t="s">
        <v>1647</v>
      </c>
      <c r="L432" s="9" t="s">
        <v>23</v>
      </c>
      <c r="M432" s="2" t="n">
        <v>45128</v>
      </c>
    </row>
    <row r="433" customFormat="false" ht="33.75" hidden="false" customHeight="false" outlineLevel="0" collapsed="false">
      <c r="A433" s="1" t="n">
        <v>2023</v>
      </c>
      <c r="B433" s="1" t="n">
        <v>492</v>
      </c>
      <c r="C433" s="1" t="s">
        <v>1634</v>
      </c>
      <c r="D433" s="1" t="s">
        <v>498</v>
      </c>
      <c r="E433" s="1" t="s">
        <v>1574</v>
      </c>
      <c r="F433" s="8" t="s">
        <v>1648</v>
      </c>
      <c r="G433" s="10" t="s">
        <v>1649</v>
      </c>
      <c r="I433" s="10" t="s">
        <v>1602</v>
      </c>
      <c r="J433" s="8" t="s">
        <v>1650</v>
      </c>
      <c r="K433" s="6" t="s">
        <v>1651</v>
      </c>
      <c r="L433" s="9" t="s">
        <v>827</v>
      </c>
    </row>
    <row r="434" customFormat="false" ht="33.75" hidden="false" customHeight="false" outlineLevel="0" collapsed="false">
      <c r="A434" s="1" t="n">
        <v>2023</v>
      </c>
      <c r="B434" s="1" t="n">
        <v>492</v>
      </c>
      <c r="C434" s="1" t="s">
        <v>1634</v>
      </c>
      <c r="D434" s="1" t="s">
        <v>498</v>
      </c>
      <c r="E434" s="1" t="s">
        <v>1574</v>
      </c>
      <c r="F434" s="8" t="s">
        <v>1652</v>
      </c>
      <c r="G434" s="10" t="s">
        <v>1653</v>
      </c>
      <c r="I434" s="10" t="s">
        <v>1602</v>
      </c>
      <c r="J434" s="8" t="s">
        <v>1654</v>
      </c>
      <c r="K434" s="6" t="s">
        <v>1655</v>
      </c>
      <c r="L434" s="9" t="s">
        <v>827</v>
      </c>
    </row>
    <row r="435" customFormat="false" ht="56.25" hidden="false" customHeight="false" outlineLevel="0" collapsed="false">
      <c r="A435" s="1" t="n">
        <v>2023</v>
      </c>
      <c r="B435" s="1" t="n">
        <v>497</v>
      </c>
      <c r="C435" s="1" t="s">
        <v>1656</v>
      </c>
      <c r="D435" s="1" t="s">
        <v>498</v>
      </c>
      <c r="E435" s="1" t="s">
        <v>1574</v>
      </c>
      <c r="F435" s="8" t="s">
        <v>1657</v>
      </c>
      <c r="G435" s="10" t="s">
        <v>1658</v>
      </c>
      <c r="I435" s="10" t="s">
        <v>1602</v>
      </c>
      <c r="J435" s="8" t="s">
        <v>1659</v>
      </c>
      <c r="K435" s="6" t="s">
        <v>1660</v>
      </c>
      <c r="L435" s="9" t="s">
        <v>23</v>
      </c>
      <c r="M435" s="2" t="n">
        <v>45128</v>
      </c>
    </row>
    <row r="436" customFormat="false" ht="56.25" hidden="false" customHeight="false" outlineLevel="0" collapsed="false">
      <c r="A436" s="1" t="n">
        <v>2023</v>
      </c>
      <c r="B436" s="1" t="n">
        <v>497</v>
      </c>
      <c r="C436" s="1" t="s">
        <v>1656</v>
      </c>
      <c r="D436" s="1" t="s">
        <v>498</v>
      </c>
      <c r="E436" s="1" t="s">
        <v>1574</v>
      </c>
      <c r="F436" s="8" t="s">
        <v>1661</v>
      </c>
      <c r="G436" s="10" t="s">
        <v>1662</v>
      </c>
      <c r="I436" s="10" t="s">
        <v>1602</v>
      </c>
      <c r="J436" s="8" t="s">
        <v>1663</v>
      </c>
      <c r="K436" s="6" t="s">
        <v>1664</v>
      </c>
      <c r="L436" s="9" t="s">
        <v>827</v>
      </c>
    </row>
    <row r="437" customFormat="false" ht="56.25" hidden="false" customHeight="false" outlineLevel="0" collapsed="false">
      <c r="A437" s="1" t="n">
        <v>2023</v>
      </c>
      <c r="B437" s="1" t="n">
        <v>497</v>
      </c>
      <c r="C437" s="1" t="s">
        <v>1656</v>
      </c>
      <c r="D437" s="1" t="s">
        <v>498</v>
      </c>
      <c r="E437" s="1" t="s">
        <v>1574</v>
      </c>
      <c r="F437" s="8" t="s">
        <v>1665</v>
      </c>
      <c r="G437" s="10" t="s">
        <v>1666</v>
      </c>
      <c r="I437" s="10" t="s">
        <v>1602</v>
      </c>
      <c r="J437" s="8" t="s">
        <v>1667</v>
      </c>
      <c r="K437" s="6" t="s">
        <v>1668</v>
      </c>
      <c r="L437" s="9" t="s">
        <v>827</v>
      </c>
    </row>
    <row r="438" customFormat="false" ht="56.25" hidden="false" customHeight="false" outlineLevel="0" collapsed="false">
      <c r="A438" s="1" t="n">
        <v>2023</v>
      </c>
      <c r="B438" s="1" t="n">
        <v>497</v>
      </c>
      <c r="C438" s="1" t="s">
        <v>1656</v>
      </c>
      <c r="D438" s="1" t="s">
        <v>498</v>
      </c>
      <c r="E438" s="1" t="s">
        <v>1574</v>
      </c>
      <c r="F438" s="8" t="s">
        <v>1669</v>
      </c>
      <c r="G438" s="10" t="s">
        <v>1670</v>
      </c>
      <c r="I438" s="10" t="s">
        <v>1602</v>
      </c>
      <c r="J438" s="8" t="s">
        <v>1671</v>
      </c>
      <c r="K438" s="6" t="s">
        <v>1672</v>
      </c>
      <c r="L438" s="9" t="s">
        <v>827</v>
      </c>
    </row>
    <row r="439" customFormat="false" ht="56.25" hidden="false" customHeight="false" outlineLevel="0" collapsed="false">
      <c r="A439" s="1" t="n">
        <v>2023</v>
      </c>
      <c r="B439" s="1" t="n">
        <v>497</v>
      </c>
      <c r="C439" s="1" t="s">
        <v>1656</v>
      </c>
      <c r="D439" s="1" t="s">
        <v>498</v>
      </c>
      <c r="E439" s="1" t="s">
        <v>1574</v>
      </c>
      <c r="F439" s="8" t="s">
        <v>1673</v>
      </c>
      <c r="G439" s="10" t="s">
        <v>1674</v>
      </c>
      <c r="I439" s="10" t="s">
        <v>1602</v>
      </c>
      <c r="J439" s="8" t="s">
        <v>1675</v>
      </c>
      <c r="K439" s="6" t="s">
        <v>1676</v>
      </c>
      <c r="L439" s="9" t="s">
        <v>23</v>
      </c>
      <c r="M439" s="2" t="n">
        <v>45128</v>
      </c>
    </row>
    <row r="440" customFormat="false" ht="56.25" hidden="false" customHeight="false" outlineLevel="0" collapsed="false">
      <c r="A440" s="1" t="n">
        <v>2023</v>
      </c>
      <c r="B440" s="1" t="n">
        <v>497</v>
      </c>
      <c r="C440" s="1" t="s">
        <v>1656</v>
      </c>
      <c r="D440" s="1" t="s">
        <v>498</v>
      </c>
      <c r="E440" s="1" t="s">
        <v>1574</v>
      </c>
      <c r="F440" s="8" t="s">
        <v>1677</v>
      </c>
      <c r="G440" s="10" t="s">
        <v>1678</v>
      </c>
      <c r="I440" s="10" t="s">
        <v>1602</v>
      </c>
      <c r="J440" s="8" t="s">
        <v>1679</v>
      </c>
      <c r="K440" s="6" t="s">
        <v>1680</v>
      </c>
      <c r="L440" s="9" t="s">
        <v>827</v>
      </c>
    </row>
    <row r="441" customFormat="false" ht="56.25" hidden="false" customHeight="false" outlineLevel="0" collapsed="false">
      <c r="A441" s="1" t="n">
        <v>2023</v>
      </c>
      <c r="B441" s="1" t="n">
        <v>497</v>
      </c>
      <c r="C441" s="1" t="s">
        <v>1656</v>
      </c>
      <c r="D441" s="1" t="s">
        <v>498</v>
      </c>
      <c r="E441" s="1" t="s">
        <v>1574</v>
      </c>
      <c r="F441" s="8" t="s">
        <v>1681</v>
      </c>
      <c r="G441" s="10" t="s">
        <v>1682</v>
      </c>
      <c r="I441" s="10" t="s">
        <v>1602</v>
      </c>
      <c r="J441" s="8" t="s">
        <v>1683</v>
      </c>
      <c r="K441" s="6" t="s">
        <v>1684</v>
      </c>
      <c r="L441" s="9" t="s">
        <v>827</v>
      </c>
    </row>
    <row r="442" customFormat="false" ht="56.25" hidden="false" customHeight="false" outlineLevel="0" collapsed="false">
      <c r="A442" s="1" t="n">
        <v>2023</v>
      </c>
      <c r="B442" s="1" t="n">
        <v>497</v>
      </c>
      <c r="C442" s="1" t="s">
        <v>1656</v>
      </c>
      <c r="D442" s="1" t="s">
        <v>498</v>
      </c>
      <c r="E442" s="1" t="s">
        <v>1574</v>
      </c>
      <c r="F442" s="8" t="s">
        <v>1685</v>
      </c>
      <c r="G442" s="10" t="s">
        <v>1686</v>
      </c>
      <c r="I442" s="10" t="s">
        <v>1602</v>
      </c>
      <c r="J442" s="8" t="s">
        <v>1687</v>
      </c>
      <c r="K442" s="6" t="s">
        <v>1688</v>
      </c>
      <c r="L442" s="9" t="s">
        <v>1266</v>
      </c>
      <c r="M442" s="2" t="n">
        <v>45128</v>
      </c>
    </row>
    <row r="443" customFormat="false" ht="27" hidden="false" customHeight="false" outlineLevel="0" collapsed="false">
      <c r="A443" s="1" t="n">
        <v>2022</v>
      </c>
      <c r="B443" s="1" t="s">
        <v>1689</v>
      </c>
      <c r="C443" s="1" t="s">
        <v>1690</v>
      </c>
      <c r="D443" s="1" t="s">
        <v>498</v>
      </c>
      <c r="E443" s="1" t="s">
        <v>16</v>
      </c>
      <c r="F443" s="6" t="s">
        <v>1691</v>
      </c>
      <c r="G443" s="7" t="s">
        <v>1692</v>
      </c>
      <c r="H443" s="7" t="s">
        <v>1693</v>
      </c>
      <c r="I443" s="7" t="s">
        <v>1694</v>
      </c>
      <c r="J443" s="8" t="s">
        <v>1695</v>
      </c>
      <c r="K443" s="6" t="s">
        <v>1696</v>
      </c>
      <c r="L443" s="9" t="s">
        <v>23</v>
      </c>
      <c r="M443" s="2" t="n">
        <v>1</v>
      </c>
    </row>
    <row r="444" customFormat="false" ht="27" hidden="false" customHeight="false" outlineLevel="0" collapsed="false">
      <c r="A444" s="1" t="n">
        <v>2022</v>
      </c>
      <c r="B444" s="1" t="s">
        <v>1689</v>
      </c>
      <c r="C444" s="1" t="s">
        <v>1690</v>
      </c>
      <c r="D444" s="1" t="s">
        <v>498</v>
      </c>
      <c r="E444" s="1" t="s">
        <v>16</v>
      </c>
      <c r="F444" s="6" t="s">
        <v>1697</v>
      </c>
      <c r="G444" s="7" t="s">
        <v>1698</v>
      </c>
      <c r="H444" s="7" t="s">
        <v>1699</v>
      </c>
      <c r="I444" s="7" t="s">
        <v>1700</v>
      </c>
      <c r="J444" s="8" t="s">
        <v>1701</v>
      </c>
      <c r="K444" s="6" t="s">
        <v>1702</v>
      </c>
      <c r="L444" s="9" t="s">
        <v>23</v>
      </c>
      <c r="M444" s="2" t="n">
        <v>3</v>
      </c>
    </row>
    <row r="445" customFormat="false" ht="27" hidden="false" customHeight="false" outlineLevel="0" collapsed="false">
      <c r="A445" s="1" t="n">
        <v>2022</v>
      </c>
      <c r="B445" s="1" t="s">
        <v>1689</v>
      </c>
      <c r="C445" s="1" t="s">
        <v>1690</v>
      </c>
      <c r="D445" s="1" t="s">
        <v>498</v>
      </c>
      <c r="E445" s="1" t="s">
        <v>16</v>
      </c>
      <c r="F445" s="6" t="s">
        <v>1703</v>
      </c>
      <c r="G445" s="7" t="s">
        <v>1704</v>
      </c>
      <c r="H445" s="7" t="s">
        <v>1705</v>
      </c>
      <c r="I445" s="7" t="s">
        <v>1706</v>
      </c>
      <c r="J445" s="8" t="s">
        <v>1707</v>
      </c>
      <c r="K445" s="6" t="s">
        <v>1708</v>
      </c>
      <c r="L445" s="9" t="s">
        <v>23</v>
      </c>
      <c r="M445" s="2" t="n">
        <v>1</v>
      </c>
    </row>
    <row r="446" customFormat="false" ht="33" hidden="false" customHeight="false" outlineLevel="0" collapsed="false">
      <c r="A446" s="1" t="n">
        <v>2022</v>
      </c>
      <c r="B446" s="1" t="s">
        <v>1689</v>
      </c>
      <c r="C446" s="1" t="s">
        <v>1690</v>
      </c>
      <c r="D446" s="1" t="s">
        <v>498</v>
      </c>
      <c r="E446" s="1" t="s">
        <v>16</v>
      </c>
      <c r="F446" s="6" t="s">
        <v>1709</v>
      </c>
      <c r="G446" s="7" t="s">
        <v>1710</v>
      </c>
      <c r="H446" s="7" t="s">
        <v>1711</v>
      </c>
      <c r="I446" s="7" t="s">
        <v>1712</v>
      </c>
      <c r="J446" s="8" t="s">
        <v>1713</v>
      </c>
      <c r="K446" s="6" t="s">
        <v>1714</v>
      </c>
      <c r="L446" s="9" t="s">
        <v>23</v>
      </c>
      <c r="M446" s="2" t="n">
        <v>4</v>
      </c>
    </row>
    <row r="447" customFormat="false" ht="27" hidden="false" customHeight="false" outlineLevel="0" collapsed="false">
      <c r="A447" s="1" t="n">
        <v>2022</v>
      </c>
      <c r="B447" s="1" t="s">
        <v>1689</v>
      </c>
      <c r="C447" s="1" t="s">
        <v>1690</v>
      </c>
      <c r="D447" s="1" t="s">
        <v>498</v>
      </c>
      <c r="E447" s="1" t="s">
        <v>16</v>
      </c>
      <c r="F447" s="6" t="s">
        <v>1715</v>
      </c>
      <c r="G447" s="7" t="s">
        <v>1716</v>
      </c>
      <c r="H447" s="7" t="s">
        <v>1717</v>
      </c>
      <c r="I447" s="7" t="s">
        <v>1694</v>
      </c>
      <c r="J447" s="8" t="s">
        <v>1718</v>
      </c>
      <c r="K447" s="6" t="s">
        <v>1719</v>
      </c>
      <c r="L447" s="9" t="s">
        <v>23</v>
      </c>
      <c r="M447" s="2" t="n">
        <v>3</v>
      </c>
    </row>
    <row r="448" customFormat="false" ht="27" hidden="false" customHeight="false" outlineLevel="0" collapsed="false">
      <c r="A448" s="1" t="n">
        <v>2022</v>
      </c>
      <c r="B448" s="1" t="s">
        <v>1689</v>
      </c>
      <c r="C448" s="1" t="s">
        <v>1690</v>
      </c>
      <c r="D448" s="1" t="s">
        <v>498</v>
      </c>
      <c r="E448" s="1" t="s">
        <v>16</v>
      </c>
      <c r="F448" s="6" t="s">
        <v>1720</v>
      </c>
      <c r="G448" s="7" t="s">
        <v>1721</v>
      </c>
      <c r="H448" s="7" t="s">
        <v>1722</v>
      </c>
      <c r="I448" s="7" t="s">
        <v>1694</v>
      </c>
      <c r="J448" s="8" t="s">
        <v>1723</v>
      </c>
      <c r="K448" s="6" t="s">
        <v>1724</v>
      </c>
      <c r="L448" s="9" t="s">
        <v>23</v>
      </c>
      <c r="M448" s="2" t="n">
        <v>3</v>
      </c>
    </row>
    <row r="449" customFormat="false" ht="36" hidden="false" customHeight="false" outlineLevel="0" collapsed="false">
      <c r="A449" s="1" t="n">
        <v>2022</v>
      </c>
      <c r="B449" s="1" t="s">
        <v>1689</v>
      </c>
      <c r="C449" s="1" t="s">
        <v>1690</v>
      </c>
      <c r="D449" s="1" t="s">
        <v>498</v>
      </c>
      <c r="E449" s="1" t="s">
        <v>16</v>
      </c>
      <c r="F449" s="6" t="s">
        <v>1725</v>
      </c>
      <c r="G449" s="7" t="s">
        <v>1726</v>
      </c>
      <c r="H449" s="7" t="s">
        <v>1727</v>
      </c>
      <c r="I449" s="7" t="s">
        <v>1694</v>
      </c>
      <c r="J449" s="8" t="s">
        <v>1728</v>
      </c>
      <c r="K449" s="6" t="s">
        <v>1729</v>
      </c>
      <c r="L449" s="9" t="s">
        <v>23</v>
      </c>
      <c r="M449" s="2" t="n">
        <v>3</v>
      </c>
    </row>
    <row r="450" customFormat="false" ht="27" hidden="false" customHeight="false" outlineLevel="0" collapsed="false">
      <c r="A450" s="1" t="n">
        <v>2022</v>
      </c>
      <c r="B450" s="1" t="s">
        <v>1689</v>
      </c>
      <c r="C450" s="1" t="s">
        <v>1690</v>
      </c>
      <c r="D450" s="1" t="s">
        <v>498</v>
      </c>
      <c r="E450" s="1" t="s">
        <v>16</v>
      </c>
      <c r="F450" s="6" t="s">
        <v>1730</v>
      </c>
      <c r="G450" s="7" t="s">
        <v>1731</v>
      </c>
      <c r="H450" s="7" t="s">
        <v>1732</v>
      </c>
      <c r="I450" s="7" t="s">
        <v>1694</v>
      </c>
      <c r="J450" s="8" t="s">
        <v>1733</v>
      </c>
      <c r="K450" s="6" t="s">
        <v>1734</v>
      </c>
      <c r="L450" s="9" t="s">
        <v>23</v>
      </c>
      <c r="M450" s="2" t="n">
        <v>4</v>
      </c>
    </row>
    <row r="451" customFormat="false" ht="12.75" hidden="false" customHeight="false" outlineLevel="0" collapsed="false"/>
    <row r="452" customFormat="false" ht="12.75" hidden="false" customHeight="false" outlineLevel="0" collapsed="false"/>
    <row r="453" customFormat="false" ht="12.75" hidden="false" customHeight="false" outlineLevel="0" collapsed="false"/>
    <row r="454" customFormat="false" ht="12.75" hidden="false" customHeight="false" outlineLevel="0" collapsed="false"/>
    <row r="455" customFormat="false" ht="12.75" hidden="false" customHeight="false" outlineLevel="0" collapsed="false"/>
    <row r="456" customFormat="false" ht="12.75" hidden="false" customHeight="false" outlineLevel="0" collapsed="false"/>
    <row r="457" customFormat="false" ht="12.75" hidden="false" customHeight="false" outlineLevel="0" collapsed="false"/>
    <row r="458" customFormat="false" ht="12.75" hidden="false" customHeight="false" outlineLevel="0" collapsed="false"/>
    <row r="459" customFormat="false" ht="12.75" hidden="false" customHeight="false" outlineLevel="0" collapsed="false"/>
    <row r="460" customFormat="false" ht="12.75" hidden="false" customHeight="false" outlineLevel="0" collapsed="false"/>
    <row r="461" customFormat="false" ht="12.75" hidden="false" customHeight="false" outlineLevel="0" collapsed="false"/>
    <row r="462" customFormat="false" ht="12.75" hidden="false" customHeight="false" outlineLevel="0" collapsed="false"/>
    <row r="463" customFormat="false" ht="12.75" hidden="false" customHeight="false" outlineLevel="0" collapsed="false"/>
    <row r="464" customFormat="false" ht="12.75" hidden="false" customHeight="false" outlineLevel="0" collapsed="false"/>
    <row r="465" customFormat="false" ht="12.75" hidden="false" customHeight="false" outlineLevel="0" collapsed="false"/>
    <row r="466" customFormat="false" ht="12.75" hidden="false" customHeight="false" outlineLevel="0" collapsed="false"/>
    <row r="467" customFormat="false" ht="12.75" hidden="false" customHeight="false" outlineLevel="0" collapsed="false"/>
    <row r="468" customFormat="false" ht="12.75" hidden="false" customHeight="false" outlineLevel="0" collapsed="false"/>
    <row r="469" customFormat="false" ht="12.75" hidden="false" customHeight="false" outlineLevel="0" collapsed="false"/>
    <row r="470" customFormat="false" ht="12.75" hidden="false" customHeight="false" outlineLevel="0" collapsed="false"/>
    <row r="471" customFormat="false" ht="12.75" hidden="false" customHeight="false" outlineLevel="0" collapsed="false"/>
    <row r="472" customFormat="false" ht="12.75" hidden="false" customHeight="false" outlineLevel="0" collapsed="false"/>
    <row r="473" customFormat="false" ht="12.75" hidden="false" customHeight="false" outlineLevel="0" collapsed="false"/>
    <row r="474" customFormat="false" ht="12.75" hidden="false" customHeight="false" outlineLevel="0" collapsed="false"/>
    <row r="475" customFormat="false" ht="12.75" hidden="false" customHeight="false" outlineLevel="0" collapsed="false"/>
    <row r="476" customFormat="false" ht="12.75" hidden="false" customHeight="false" outlineLevel="0" collapsed="false"/>
    <row r="477" customFormat="false" ht="12.75" hidden="false" customHeight="false" outlineLevel="0" collapsed="false"/>
    <row r="478" customFormat="false" ht="12.75" hidden="false" customHeight="false" outlineLevel="0" collapsed="false"/>
    <row r="479" customFormat="false" ht="12.75" hidden="false" customHeight="false" outlineLevel="0" collapsed="false"/>
    <row r="480" customFormat="false" ht="12.75" hidden="false" customHeight="false" outlineLevel="0" collapsed="false"/>
    <row r="481" customFormat="false" ht="12.75" hidden="false" customHeight="false" outlineLevel="0" collapsed="false"/>
    <row r="482" customFormat="false" ht="12.75" hidden="false" customHeight="false" outlineLevel="0" collapsed="false"/>
    <row r="483" customFormat="false" ht="12.75" hidden="false" customHeight="false" outlineLevel="0" collapsed="false"/>
    <row r="484" customFormat="false" ht="12.75" hidden="false" customHeight="false" outlineLevel="0" collapsed="false"/>
    <row r="485" customFormat="false" ht="12.75" hidden="false" customHeight="false" outlineLevel="0" collapsed="false"/>
    <row r="486" customFormat="false" ht="12.75" hidden="false" customHeight="false" outlineLevel="0" collapsed="false"/>
    <row r="487" customFormat="false" ht="12.75" hidden="false" customHeight="false" outlineLevel="0" collapsed="false"/>
    <row r="488" customFormat="false" ht="12.75" hidden="false" customHeight="false" outlineLevel="0" collapsed="false"/>
    <row r="489" customFormat="false" ht="12.75" hidden="false" customHeight="false" outlineLevel="0" collapsed="false"/>
    <row r="490" customFormat="false" ht="12.75" hidden="false" customHeight="false" outlineLevel="0" collapsed="false"/>
    <row r="491" customFormat="false" ht="12.75" hidden="false" customHeight="false" outlineLevel="0" collapsed="false"/>
    <row r="492" customFormat="false" ht="12.75" hidden="false" customHeight="false" outlineLevel="0" collapsed="false"/>
    <row r="493" customFormat="false" ht="12.75" hidden="false" customHeight="false" outlineLevel="0" collapsed="false"/>
    <row r="494" customFormat="false" ht="12.75" hidden="false" customHeight="false" outlineLevel="0" collapsed="false"/>
    <row r="495" customFormat="false" ht="12.75" hidden="false" customHeight="false" outlineLevel="0" collapsed="false"/>
    <row r="496" customFormat="false" ht="12.75" hidden="false" customHeight="false" outlineLevel="0" collapsed="false"/>
    <row r="497" customFormat="false" ht="12.75" hidden="false" customHeight="false" outlineLevel="0" collapsed="false"/>
    <row r="498" customFormat="false" ht="12.75" hidden="false" customHeight="false" outlineLevel="0" collapsed="false"/>
    <row r="499" customFormat="false" ht="12.75" hidden="false" customHeight="false" outlineLevel="0" collapsed="false"/>
    <row r="500" customFormat="false" ht="12.75" hidden="false" customHeight="false" outlineLevel="0" collapsed="false"/>
    <row r="501" customFormat="false" ht="12.75" hidden="false" customHeight="false" outlineLevel="0" collapsed="false"/>
    <row r="502" customFormat="false" ht="12.75" hidden="false" customHeight="false" outlineLevel="0" collapsed="false"/>
    <row r="503" customFormat="false" ht="12.75" hidden="false" customHeight="false" outlineLevel="0" collapsed="false"/>
    <row r="504" customFormat="false" ht="12.75" hidden="false" customHeight="false" outlineLevel="0" collapsed="false"/>
    <row r="505" customFormat="false" ht="12.75" hidden="false" customHeight="false" outlineLevel="0" collapsed="false"/>
    <row r="506" customFormat="false" ht="12.75" hidden="false" customHeight="false" outlineLevel="0" collapsed="false"/>
    <row r="507" customFormat="false" ht="12.75" hidden="false" customHeight="false" outlineLevel="0" collapsed="false"/>
    <row r="508" customFormat="false" ht="12.75" hidden="false" customHeight="false" outlineLevel="0" collapsed="false"/>
    <row r="509" customFormat="false" ht="12.75" hidden="false" customHeight="false" outlineLevel="0" collapsed="false"/>
    <row r="510" customFormat="false" ht="12.75" hidden="false" customHeight="false" outlineLevel="0" collapsed="false"/>
    <row r="511" customFormat="false" ht="12.75" hidden="false" customHeight="false" outlineLevel="0" collapsed="false"/>
    <row r="512" customFormat="false" ht="12.75" hidden="false" customHeight="false" outlineLevel="0" collapsed="false"/>
    <row r="513" customFormat="false" ht="12.75" hidden="false" customHeight="false" outlineLevel="0" collapsed="false"/>
    <row r="514" customFormat="false" ht="12.75" hidden="false" customHeight="false" outlineLevel="0" collapsed="false"/>
    <row r="515" customFormat="false" ht="12.75" hidden="false" customHeight="false" outlineLevel="0" collapsed="false"/>
    <row r="516" customFormat="false" ht="12.75" hidden="false" customHeight="false" outlineLevel="0" collapsed="false"/>
    <row r="517" customFormat="false" ht="12.75" hidden="false" customHeight="false" outlineLevel="0" collapsed="false"/>
    <row r="518" customFormat="false" ht="12.75" hidden="false" customHeight="false" outlineLevel="0" collapsed="false"/>
    <row r="519" customFormat="false" ht="12.75" hidden="false" customHeight="false" outlineLevel="0" collapsed="false"/>
    <row r="520" customFormat="false" ht="12.75" hidden="false" customHeight="false" outlineLevel="0" collapsed="false"/>
    <row r="521" customFormat="false" ht="12.75" hidden="false" customHeight="false" outlineLevel="0" collapsed="false"/>
    <row r="522" customFormat="false" ht="12.75" hidden="false" customHeight="false" outlineLevel="0" collapsed="false"/>
    <row r="523" customFormat="false" ht="12.75" hidden="false" customHeight="false" outlineLevel="0" collapsed="false"/>
  </sheetData>
  <conditionalFormatting sqref="D2:D414 C2:C1048576">
    <cfRule type="containsText" priority="2" operator="containsText" aboveAverage="0" equalAverage="0" bottom="0" percent="0" rank="0" text="Activa" dxfId="0">
      <formula>NOT(ISERROR(SEARCH("Activa",C2)))</formula>
    </cfRule>
  </conditionalFormatting>
  <conditionalFormatting sqref="D2:D414 C2:C1048576">
    <cfRule type="containsText" priority="3" operator="containsText" aboveAverage="0" equalAverage="0" bottom="0" percent="0" rank="0" text="Cerrada" dxfId="1">
      <formula>NOT(ISERROR(SEARCH("Cerrada",C2)))</formula>
    </cfRule>
  </conditionalFormatting>
  <conditionalFormatting sqref="L2:L414">
    <cfRule type="containsText" priority="4" operator="containsText" aboveAverage="0" equalAverage="0" bottom="0" percent="0" rank="0" text="C" dxfId="2">
      <formula>NOT(ISERROR(SEARCH("C",L2)))</formula>
    </cfRule>
  </conditionalFormatting>
  <conditionalFormatting sqref="L2:L414">
    <cfRule type="containsText" priority="5" operator="containsText" aboveAverage="0" equalAverage="0" bottom="0" percent="0" rank="0" text="A" dxfId="3">
      <formula>NOT(ISERROR(SEARCH("A",L2)))</formula>
    </cfRule>
  </conditionalFormatting>
  <conditionalFormatting sqref="L2:L414">
    <cfRule type="containsText" priority="6" operator="containsText" aboveAverage="0" equalAverage="0" bottom="0" percent="0" rank="0" text="D" dxfId="4">
      <formula>NOT(ISERROR(SEARCH("D",L2)))</formula>
    </cfRule>
  </conditionalFormatting>
  <conditionalFormatting sqref="M2:M1048576 L443:L450">
    <cfRule type="containsText" priority="7" operator="containsText" aboveAverage="0" equalAverage="0" bottom="0" percent="0" rank="0" text="Sí" dxfId="5">
      <formula>NOT(ISERROR(SEARCH("Sí",L2)))</formula>
    </cfRule>
  </conditionalFormatting>
  <conditionalFormatting sqref="M2:M1048576 L443:L450">
    <cfRule type="containsText" priority="8" operator="containsText" aboveAverage="0" equalAverage="0" bottom="0" percent="0" rank="0" text="No" dxfId="6">
      <formula>NOT(ISERROR(SEARCH("No",L2)))</formula>
    </cfRule>
  </conditionalFormatting>
  <conditionalFormatting sqref="M2:M1048576 L443:L450">
    <cfRule type="containsText" priority="9" operator="containsText" aboveAverage="0" equalAverage="0" bottom="0" percent="0" rank="0" text="ND" dxfId="7">
      <formula>NOT(ISERROR(SEARCH("ND",L2)))</formula>
    </cfRule>
  </conditionalFormatting>
  <conditionalFormatting sqref="D415:D442">
    <cfRule type="containsText" priority="10" operator="containsText" aboveAverage="0" equalAverage="0" bottom="0" percent="0" rank="0" text="Activa" dxfId="8">
      <formula>NOT(ISERROR(SEARCH("Activa",D415)))</formula>
    </cfRule>
  </conditionalFormatting>
  <conditionalFormatting sqref="D415:D442">
    <cfRule type="containsText" priority="11" operator="containsText" aboveAverage="0" equalAverage="0" bottom="0" percent="0" rank="0" text="Cerrada" dxfId="9">
      <formula>NOT(ISERROR(SEARCH("Cerrada",D415)))</formula>
    </cfRule>
  </conditionalFormatting>
  <conditionalFormatting sqref="L439 L435 L432 L415">
    <cfRule type="containsText" priority="12" operator="containsText" aboveAverage="0" equalAverage="0" bottom="0" percent="0" rank="0" text="C" dxfId="10">
      <formula>NOT(ISERROR(SEARCH("C",L415)))</formula>
    </cfRule>
  </conditionalFormatting>
  <conditionalFormatting sqref="L439 L435 L432 L415">
    <cfRule type="containsText" priority="13" operator="containsText" aboveAverage="0" equalAverage="0" bottom="0" percent="0" rank="0" text="A" dxfId="11">
      <formula>NOT(ISERROR(SEARCH("A",L415)))</formula>
    </cfRule>
  </conditionalFormatting>
  <conditionalFormatting sqref="L439 L435 L432 L415">
    <cfRule type="containsText" priority="14" operator="containsText" aboveAverage="0" equalAverage="0" bottom="0" percent="0" rank="0" text="D" dxfId="12">
      <formula>NOT(ISERROR(SEARCH("D",L415)))</formula>
    </cfRule>
  </conditionalFormatting>
  <conditionalFormatting sqref="L440:L441 L436:L438 L433:L434 L430:L431 L424:L425 L421:L422">
    <cfRule type="containsText" priority="15" operator="containsText" aboveAverage="0" equalAverage="0" bottom="0" percent="0" rank="0" text="C" dxfId="13">
      <formula>NOT(ISERROR(SEARCH("C",L421)))</formula>
    </cfRule>
  </conditionalFormatting>
  <conditionalFormatting sqref="L440:L441 L436:L438 L433:L434 L430:L431 L424:L425 L421:L422">
    <cfRule type="containsText" priority="16" operator="containsText" aboveAverage="0" equalAverage="0" bottom="0" percent="0" rank="0" text="A" dxfId="14">
      <formula>NOT(ISERROR(SEARCH("A",L421)))</formula>
    </cfRule>
  </conditionalFormatting>
  <conditionalFormatting sqref="L440:L441 L436:L438 L433:L434 L430:L431 L424:L425 L421:L422">
    <cfRule type="containsText" priority="17" operator="containsText" aboveAverage="0" equalAverage="0" bottom="0" percent="0" rank="0" text="D" dxfId="15">
      <formula>NOT(ISERROR(SEARCH("D",L421)))</formula>
    </cfRule>
  </conditionalFormatting>
  <conditionalFormatting sqref="L442 L426:L429 L423 L416:L420">
    <cfRule type="containsText" priority="18" operator="containsText" aboveAverage="0" equalAverage="0" bottom="0" percent="0" rank="0" text="C" dxfId="16">
      <formula>NOT(ISERROR(SEARCH("C",L416)))</formula>
    </cfRule>
  </conditionalFormatting>
  <conditionalFormatting sqref="L442 L426:L429 L423 L416:L420">
    <cfRule type="containsText" priority="19" operator="containsText" aboveAverage="0" equalAverage="0" bottom="0" percent="0" rank="0" text="A" dxfId="17">
      <formula>NOT(ISERROR(SEARCH("A",L416)))</formula>
    </cfRule>
  </conditionalFormatting>
  <conditionalFormatting sqref="L442 L426:L429 L423 L416:L420">
    <cfRule type="containsText" priority="20" operator="containsText" aboveAverage="0" equalAverage="0" bottom="0" percent="0" rank="0" text="D" dxfId="18">
      <formula>NOT(ISERROR(SEARCH("D",L416)))</formula>
    </cfRule>
  </conditionalFormatting>
  <conditionalFormatting sqref="C2:C450">
    <cfRule type="colorScale" priority="21">
      <colorScale>
        <cfvo type="min" val="0"/>
        <cfvo type="max" val="0"/>
        <color rgb="FF57BB8A"/>
        <color rgb="FFFFFFFF"/>
      </colorScale>
    </cfRule>
  </conditionalFormatting>
  <conditionalFormatting sqref="C443:C450">
    <cfRule type="colorScale" priority="22">
      <colorScale>
        <cfvo type="min" val="0"/>
        <cfvo type="max" val="0"/>
        <color rgb="FF57BB8A"/>
        <color rgb="FFFFFFFF"/>
      </colorScale>
    </cfRule>
  </conditionalFormatting>
  <conditionalFormatting sqref="D443:D450">
    <cfRule type="containsText" priority="23" operator="containsText" aboveAverage="0" equalAverage="0" bottom="0" percent="0" rank="0" text="Activa" dxfId="19">
      <formula>NOT(ISERROR(SEARCH("Activa",D443)))</formula>
    </cfRule>
  </conditionalFormatting>
  <conditionalFormatting sqref="D443:D450">
    <cfRule type="containsText" priority="24" operator="containsText" aboveAverage="0" equalAverage="0" bottom="0" percent="0" rank="0" text="Cerrada" dxfId="20">
      <formula>NOT(ISERROR(SEARCH("Cerrada",D443)))</formula>
    </cfRule>
  </conditionalFormatting>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1.99"/>
    <col collapsed="false" customWidth="true" hidden="false" outlineLevel="0" max="2" min="2" style="0" width="1.85"/>
    <col collapsed="false" customWidth="true" hidden="false" outlineLevel="0" max="3" min="3" style="0" width="9.42"/>
    <col collapsed="false" customWidth="true" hidden="false" outlineLevel="0" max="4" min="4" style="0" width="2"/>
    <col collapsed="false" customWidth="true" hidden="false" outlineLevel="0" max="5" min="5" style="0" width="12.29"/>
    <col collapsed="false" customWidth="true" hidden="false" outlineLevel="0" max="6" min="6" style="0" width="1.71"/>
    <col collapsed="false" customWidth="true" hidden="false" outlineLevel="0" max="7" min="7" style="0" width="16.57"/>
    <col collapsed="false" customWidth="true" hidden="false" outlineLevel="0" max="8" min="8" style="0" width="2.57"/>
    <col collapsed="false" customWidth="true" hidden="false" outlineLevel="0" max="9" min="9" style="0" width="9.42"/>
    <col collapsed="false" customWidth="true" hidden="false" outlineLevel="0" max="10" min="10" style="0" width="2.85"/>
    <col collapsed="false" customWidth="true" hidden="false" outlineLevel="0" max="11" min="11" style="0" width="10.85"/>
    <col collapsed="false" customWidth="true" hidden="false" outlineLevel="0" max="12" min="12" style="0" width="3.42"/>
    <col collapsed="false" customWidth="true" hidden="false" outlineLevel="0" max="13" min="13" style="0" width="44.42"/>
    <col collapsed="false" customWidth="true" hidden="false" outlineLevel="0" max="25" min="14" style="0" width="9.42"/>
  </cols>
  <sheetData>
    <row r="1" customFormat="false" ht="12.75" hidden="false" customHeight="true" outlineLevel="0" collapsed="false">
      <c r="A1" s="11" t="s">
        <v>1735</v>
      </c>
      <c r="C1" s="11" t="s">
        <v>1736</v>
      </c>
      <c r="E1" s="11" t="s">
        <v>1737</v>
      </c>
      <c r="G1" s="11" t="s">
        <v>4</v>
      </c>
      <c r="I1" s="12" t="s">
        <v>1738</v>
      </c>
      <c r="K1" s="13" t="s">
        <v>1739</v>
      </c>
      <c r="M1" s="13" t="s">
        <v>3</v>
      </c>
    </row>
    <row r="2" customFormat="false" ht="12.75" hidden="false" customHeight="true" outlineLevel="0" collapsed="false">
      <c r="A2" s="0" t="s">
        <v>1740</v>
      </c>
      <c r="C2" s="0" t="s">
        <v>1741</v>
      </c>
      <c r="E2" s="0" t="s">
        <v>1742</v>
      </c>
      <c r="G2" s="0" t="s">
        <v>1743</v>
      </c>
      <c r="I2" s="13" t="s">
        <v>1744</v>
      </c>
      <c r="K2" s="13" t="s">
        <v>1745</v>
      </c>
      <c r="M2" s="14" t="s">
        <v>1746</v>
      </c>
    </row>
    <row r="3" customFormat="false" ht="12.75" hidden="false" customHeight="true" outlineLevel="0" collapsed="false">
      <c r="A3" s="0" t="s">
        <v>1747</v>
      </c>
      <c r="C3" s="0" t="s">
        <v>1748</v>
      </c>
      <c r="E3" s="0" t="s">
        <v>1749</v>
      </c>
      <c r="G3" s="13" t="s">
        <v>1750</v>
      </c>
      <c r="I3" s="13" t="s">
        <v>1751</v>
      </c>
      <c r="K3" s="13" t="s">
        <v>1752</v>
      </c>
      <c r="M3" s="15" t="s">
        <v>1753</v>
      </c>
    </row>
    <row r="4" customFormat="false" ht="12.75" hidden="false" customHeight="true" outlineLevel="0" collapsed="false">
      <c r="E4" s="0" t="s">
        <v>1754</v>
      </c>
      <c r="G4" s="0" t="s">
        <v>1755</v>
      </c>
      <c r="I4" s="13" t="s">
        <v>1756</v>
      </c>
      <c r="K4" s="13" t="s">
        <v>1757</v>
      </c>
      <c r="M4" s="15" t="s">
        <v>458</v>
      </c>
    </row>
    <row r="5" customFormat="false" ht="12.75" hidden="false" customHeight="true" outlineLevel="0" collapsed="false">
      <c r="E5" s="0" t="s">
        <v>1758</v>
      </c>
      <c r="G5" s="13" t="s">
        <v>1759</v>
      </c>
      <c r="I5" s="13" t="s">
        <v>1760</v>
      </c>
      <c r="K5" s="13" t="s">
        <v>1761</v>
      </c>
      <c r="M5" s="15" t="s">
        <v>1762</v>
      </c>
    </row>
    <row r="6" customFormat="false" ht="12.75" hidden="false" customHeight="true" outlineLevel="0" collapsed="false">
      <c r="E6" s="0" t="s">
        <v>1763</v>
      </c>
      <c r="G6" s="0" t="s">
        <v>1764</v>
      </c>
      <c r="M6" s="15" t="s">
        <v>1765</v>
      </c>
    </row>
    <row r="7" customFormat="false" ht="12.75" hidden="false" customHeight="true" outlineLevel="0" collapsed="false">
      <c r="E7" s="0" t="s">
        <v>1766</v>
      </c>
      <c r="G7" s="0" t="s">
        <v>1767</v>
      </c>
      <c r="M7" s="15" t="s">
        <v>907</v>
      </c>
    </row>
    <row r="8" customFormat="false" ht="12.75" hidden="false" customHeight="true" outlineLevel="0" collapsed="false">
      <c r="E8" s="13" t="s">
        <v>1768</v>
      </c>
      <c r="G8" s="0" t="s">
        <v>1769</v>
      </c>
      <c r="M8" s="15" t="s">
        <v>1770</v>
      </c>
    </row>
    <row r="9" customFormat="false" ht="12.75" hidden="false" customHeight="true" outlineLevel="0" collapsed="false">
      <c r="G9" s="13" t="s">
        <v>1771</v>
      </c>
      <c r="M9" s="15" t="s">
        <v>1772</v>
      </c>
    </row>
    <row r="10" customFormat="false" ht="12.75" hidden="false" customHeight="true" outlineLevel="0" collapsed="false">
      <c r="G10" s="0" t="s">
        <v>1773</v>
      </c>
      <c r="J10" s="16"/>
      <c r="M10" s="15" t="s">
        <v>1774</v>
      </c>
    </row>
    <row r="11" customFormat="false" ht="12.75" hidden="false" customHeight="true" outlineLevel="0" collapsed="false">
      <c r="J11" s="16"/>
      <c r="M11" s="15" t="s">
        <v>1036</v>
      </c>
    </row>
    <row r="12" customFormat="false" ht="12.75" hidden="false" customHeight="true" outlineLevel="0" collapsed="false">
      <c r="J12" s="16"/>
      <c r="M12" s="14" t="s">
        <v>358</v>
      </c>
    </row>
    <row r="13" customFormat="false" ht="12.75" hidden="false" customHeight="true" outlineLevel="0" collapsed="false">
      <c r="J13" s="16"/>
      <c r="M13" s="15" t="s">
        <v>835</v>
      </c>
    </row>
    <row r="14" customFormat="false" ht="12.75" hidden="false" customHeight="true" outlineLevel="0" collapsed="false">
      <c r="M14" s="15" t="s">
        <v>1775</v>
      </c>
    </row>
    <row r="15" customFormat="false" ht="12.75" hidden="false" customHeight="true" outlineLevel="0" collapsed="false">
      <c r="M15" s="15" t="s">
        <v>1776</v>
      </c>
    </row>
    <row r="16" customFormat="false" ht="12.75" hidden="false" customHeight="true" outlineLevel="0" collapsed="false">
      <c r="M16" s="15" t="s">
        <v>1273</v>
      </c>
    </row>
    <row r="17" customFormat="false" ht="12.75" hidden="false" customHeight="true" outlineLevel="0" collapsed="false">
      <c r="M17" s="15" t="s">
        <v>606</v>
      </c>
    </row>
    <row r="18" customFormat="false" ht="12.75" hidden="false" customHeight="true" outlineLevel="0" collapsed="false">
      <c r="M18" s="14" t="s">
        <v>1777</v>
      </c>
    </row>
    <row r="19" customFormat="false" ht="12.75" hidden="false" customHeight="true" outlineLevel="0" collapsed="false">
      <c r="M19" s="15" t="s">
        <v>15</v>
      </c>
    </row>
    <row r="20" customFormat="false" ht="12.75" hidden="false" customHeight="true" outlineLevel="0" collapsed="false">
      <c r="M20" s="15" t="s">
        <v>498</v>
      </c>
    </row>
    <row r="21" customFormat="false" ht="12.75" hidden="false" customHeight="true" outlineLevel="0" collapsed="false">
      <c r="M21" s="15" t="s">
        <v>554</v>
      </c>
    </row>
    <row r="22" customFormat="false" ht="12.75" hidden="false" customHeight="true" outlineLevel="0" collapsed="false">
      <c r="M22" s="15" t="s">
        <v>1549</v>
      </c>
    </row>
    <row r="23" customFormat="false" ht="12.75" hidden="false" customHeight="true" outlineLevel="0" collapsed="false"/>
    <row r="24" customFormat="false" ht="12.75" hidden="false" customHeight="true" outlineLevel="0" collapsed="false"/>
    <row r="25" customFormat="false" ht="12.75" hidden="false" customHeight="true" outlineLevel="0" collapsed="false"/>
    <row r="26" customFormat="false" ht="12.75" hidden="false" customHeight="true" outlineLevel="0" collapsed="false"/>
    <row r="27" customFormat="false" ht="12.75" hidden="false" customHeight="true" outlineLevel="0" collapsed="false"/>
    <row r="28" customFormat="false" ht="12.75" hidden="false" customHeight="true" outlineLevel="0" collapsed="false"/>
    <row r="29" customFormat="false" ht="12.75" hidden="false" customHeight="true" outlineLevel="0" collapsed="false"/>
    <row r="30" customFormat="false" ht="12.75" hidden="false" customHeight="true" outlineLevel="0" collapsed="false"/>
    <row r="31" customFormat="false" ht="12.75" hidden="false" customHeight="true" outlineLevel="0" collapsed="false"/>
    <row r="32" customFormat="false" ht="12.75" hidden="false" customHeight="true" outlineLevel="0" collapsed="false"/>
    <row r="33" customFormat="false" ht="12.75" hidden="false" customHeight="true" outlineLevel="0" collapsed="false"/>
    <row r="34" customFormat="false" ht="12.75" hidden="false" customHeight="true" outlineLevel="0" collapsed="false"/>
    <row r="35" customFormat="false" ht="12.75" hidden="false" customHeight="true" outlineLevel="0" collapsed="false"/>
    <row r="36" customFormat="false" ht="12.75" hidden="false" customHeight="true" outlineLevel="0" collapsed="false"/>
    <row r="37" customFormat="false" ht="12.75" hidden="false" customHeight="true" outlineLevel="0" collapsed="false"/>
    <row r="38" customFormat="false" ht="12.75" hidden="false" customHeight="true" outlineLevel="0" collapsed="false"/>
    <row r="39" customFormat="false" ht="12.75" hidden="false" customHeight="true" outlineLevel="0" collapsed="false"/>
    <row r="40" customFormat="false" ht="12.75" hidden="false" customHeight="true" outlineLevel="0" collapsed="false"/>
    <row r="41" customFormat="false" ht="12.75" hidden="false" customHeight="true" outlineLevel="0" collapsed="false"/>
    <row r="42" customFormat="false" ht="12.75" hidden="false" customHeight="true" outlineLevel="0" collapsed="false"/>
    <row r="43" customFormat="false" ht="12.75" hidden="false" customHeight="true" outlineLevel="0" collapsed="false"/>
    <row r="44" customFormat="false" ht="12.75" hidden="false" customHeight="true" outlineLevel="0" collapsed="false"/>
    <row r="45" customFormat="false" ht="12.75" hidden="false" customHeight="true" outlineLevel="0" collapsed="false"/>
    <row r="46" customFormat="false" ht="12.75" hidden="false" customHeight="true" outlineLevel="0" collapsed="false"/>
    <row r="47" customFormat="false" ht="12.75" hidden="false" customHeight="true" outlineLevel="0" collapsed="false"/>
    <row r="48" customFormat="false" ht="12.75" hidden="false" customHeight="true" outlineLevel="0" collapsed="false"/>
    <row r="49" customFormat="false" ht="12.75" hidden="false" customHeight="true" outlineLevel="0" collapsed="false"/>
    <row r="50" customFormat="false" ht="12.75" hidden="false" customHeight="true" outlineLevel="0" collapsed="false"/>
    <row r="51" customFormat="false" ht="12.75" hidden="false" customHeight="true" outlineLevel="0" collapsed="false"/>
    <row r="52" customFormat="false" ht="12.75" hidden="false" customHeight="true" outlineLevel="0" collapsed="false"/>
    <row r="53" customFormat="false" ht="12.75" hidden="false" customHeight="true" outlineLevel="0" collapsed="false"/>
    <row r="54" customFormat="false" ht="12.75" hidden="false" customHeight="true" outlineLevel="0" collapsed="false"/>
    <row r="55" customFormat="false" ht="12.75" hidden="false" customHeight="true" outlineLevel="0" collapsed="false"/>
    <row r="56" customFormat="false" ht="12.75" hidden="false" customHeight="true" outlineLevel="0" collapsed="false"/>
    <row r="57" customFormat="false" ht="12.75" hidden="false" customHeight="true" outlineLevel="0" collapsed="false"/>
    <row r="58" customFormat="false" ht="12.75" hidden="false" customHeight="true" outlineLevel="0" collapsed="false"/>
    <row r="59" customFormat="false" ht="12.75" hidden="false" customHeight="true" outlineLevel="0" collapsed="false"/>
    <row r="60" customFormat="false" ht="12.75" hidden="false" customHeight="true" outlineLevel="0" collapsed="false"/>
    <row r="61" customFormat="false" ht="12.75" hidden="false" customHeight="true" outlineLevel="0" collapsed="false"/>
    <row r="62" customFormat="false" ht="12.75" hidden="false" customHeight="true" outlineLevel="0" collapsed="false"/>
    <row r="63" customFormat="false" ht="12.75" hidden="false" customHeight="true" outlineLevel="0" collapsed="false"/>
    <row r="64" customFormat="false" ht="12.75" hidden="false" customHeight="true" outlineLevel="0" collapsed="false"/>
    <row r="65" customFormat="false" ht="12.75" hidden="false" customHeight="true" outlineLevel="0" collapsed="false"/>
    <row r="66" customFormat="false" ht="12.75" hidden="false" customHeight="true" outlineLevel="0" collapsed="false"/>
    <row r="67" customFormat="false" ht="12.75" hidden="false" customHeight="true" outlineLevel="0" collapsed="false"/>
    <row r="68" customFormat="false" ht="12.75" hidden="false" customHeight="true" outlineLevel="0" collapsed="false"/>
    <row r="69" customFormat="false" ht="12.75" hidden="false" customHeight="true" outlineLevel="0" collapsed="false"/>
    <row r="70" customFormat="false" ht="12.75" hidden="false" customHeight="true" outlineLevel="0" collapsed="false"/>
    <row r="71" customFormat="false" ht="12.75" hidden="false" customHeight="true" outlineLevel="0" collapsed="false"/>
    <row r="72" customFormat="false" ht="12.75" hidden="false" customHeight="true" outlineLevel="0" collapsed="false"/>
    <row r="73" customFormat="false" ht="12.75" hidden="false" customHeight="true" outlineLevel="0" collapsed="false"/>
    <row r="74" customFormat="false" ht="12.75" hidden="false" customHeight="true" outlineLevel="0" collapsed="false"/>
    <row r="75" customFormat="false" ht="12.75" hidden="false" customHeight="true" outlineLevel="0" collapsed="false"/>
    <row r="76" customFormat="false" ht="12.75" hidden="false" customHeight="true" outlineLevel="0" collapsed="false"/>
    <row r="77" customFormat="false" ht="12.75" hidden="false" customHeight="true" outlineLevel="0" collapsed="false"/>
    <row r="78" customFormat="false" ht="12.75" hidden="false" customHeight="true" outlineLevel="0" collapsed="false"/>
    <row r="79" customFormat="false" ht="12.75" hidden="false" customHeight="true" outlineLevel="0" collapsed="false"/>
    <row r="80" customFormat="false" ht="12.75" hidden="false" customHeight="true" outlineLevel="0" collapsed="false"/>
    <row r="81" customFormat="false" ht="12.75" hidden="false" customHeight="true" outlineLevel="0" collapsed="false"/>
    <row r="82" customFormat="false" ht="12.75" hidden="false" customHeight="true" outlineLevel="0" collapsed="false"/>
    <row r="83" customFormat="false" ht="12.75" hidden="false" customHeight="true" outlineLevel="0" collapsed="false"/>
    <row r="84" customFormat="false" ht="12.75" hidden="false" customHeight="true" outlineLevel="0" collapsed="false"/>
    <row r="85" customFormat="false" ht="12.75" hidden="false" customHeight="true" outlineLevel="0" collapsed="false"/>
    <row r="86" customFormat="false" ht="12.75" hidden="false" customHeight="true" outlineLevel="0" collapsed="false"/>
    <row r="87" customFormat="false" ht="12.75" hidden="false" customHeight="true" outlineLevel="0" collapsed="false"/>
    <row r="88" customFormat="false" ht="12.75" hidden="false" customHeight="true" outlineLevel="0" collapsed="false"/>
    <row r="89" customFormat="false" ht="12.75" hidden="false" customHeight="true" outlineLevel="0" collapsed="false"/>
    <row r="90" customFormat="false" ht="12.75" hidden="false" customHeight="true" outlineLevel="0" collapsed="false"/>
    <row r="91" customFormat="false" ht="12.75" hidden="false" customHeight="true" outlineLevel="0" collapsed="false"/>
    <row r="92" customFormat="false" ht="12.75" hidden="false" customHeight="true" outlineLevel="0" collapsed="false"/>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row r="131" customFormat="false" ht="12.75" hidden="false" customHeight="true" outlineLevel="0" collapsed="false"/>
    <row r="132" customFormat="false" ht="12.75" hidden="false" customHeight="true" outlineLevel="0" collapsed="false"/>
    <row r="133" customFormat="false" ht="12.75" hidden="false" customHeight="true" outlineLevel="0" collapsed="false"/>
    <row r="134" customFormat="false" ht="12.75" hidden="false" customHeight="true" outlineLevel="0" collapsed="false"/>
    <row r="135" customFormat="false" ht="12.75" hidden="false" customHeight="true" outlineLevel="0" collapsed="false"/>
    <row r="136" customFormat="false" ht="12.75" hidden="false" customHeight="true" outlineLevel="0" collapsed="false"/>
    <row r="137" customFormat="false" ht="12.75" hidden="false" customHeight="true" outlineLevel="0" collapsed="false"/>
    <row r="138" customFormat="false" ht="12.75" hidden="false" customHeight="true" outlineLevel="0" collapsed="false"/>
    <row r="139" customFormat="false" ht="12.75" hidden="false" customHeight="true" outlineLevel="0" collapsed="false"/>
    <row r="140" customFormat="false" ht="12.75" hidden="false" customHeight="true" outlineLevel="0" collapsed="false"/>
    <row r="141" customFormat="false" ht="12.75" hidden="false" customHeight="true" outlineLevel="0" collapsed="false"/>
    <row r="142" customFormat="false" ht="12.75" hidden="false" customHeight="true" outlineLevel="0" collapsed="false"/>
    <row r="143" customFormat="false" ht="12.75" hidden="false" customHeight="true" outlineLevel="0" collapsed="false"/>
    <row r="144" customFormat="false" ht="12.75" hidden="false" customHeight="true" outlineLevel="0" collapsed="false"/>
    <row r="145" customFormat="false" ht="12.75" hidden="false" customHeight="true" outlineLevel="0" collapsed="false"/>
    <row r="146" customFormat="false" ht="12.75" hidden="false" customHeight="true" outlineLevel="0" collapsed="false"/>
    <row r="147" customFormat="false" ht="12.75" hidden="false" customHeight="true" outlineLevel="0" collapsed="false"/>
    <row r="148" customFormat="false" ht="12.75" hidden="false" customHeight="true" outlineLevel="0" collapsed="false"/>
    <row r="149" customFormat="false" ht="12.75" hidden="false" customHeight="true" outlineLevel="0" collapsed="false"/>
    <row r="150" customFormat="false" ht="12.75" hidden="false" customHeight="true" outlineLevel="0" collapsed="false"/>
    <row r="151" customFormat="false" ht="12.75" hidden="false" customHeight="true" outlineLevel="0" collapsed="false"/>
    <row r="152" customFormat="false" ht="12.75" hidden="false" customHeight="true" outlineLevel="0" collapsed="false"/>
    <row r="153" customFormat="false" ht="12.75" hidden="false" customHeight="true" outlineLevel="0" collapsed="false"/>
    <row r="154" customFormat="false" ht="12.75" hidden="false" customHeight="true" outlineLevel="0" collapsed="false"/>
    <row r="155" customFormat="false" ht="12.75" hidden="false" customHeight="true" outlineLevel="0" collapsed="false"/>
    <row r="156" customFormat="false" ht="12.75" hidden="false" customHeight="true" outlineLevel="0" collapsed="false"/>
    <row r="157" customFormat="false" ht="12.75" hidden="false" customHeight="true" outlineLevel="0" collapsed="false"/>
    <row r="158" customFormat="false" ht="12.75" hidden="false" customHeight="true" outlineLevel="0" collapsed="false"/>
    <row r="159" customFormat="false" ht="12.75" hidden="false" customHeight="true" outlineLevel="0" collapsed="false"/>
    <row r="160" customFormat="false" ht="12.75" hidden="false" customHeight="true" outlineLevel="0" collapsed="false"/>
    <row r="161" customFormat="false" ht="12.75" hidden="false" customHeight="true" outlineLevel="0" collapsed="false"/>
    <row r="162" customFormat="false" ht="12.75" hidden="false" customHeight="true" outlineLevel="0" collapsed="false"/>
    <row r="163" customFormat="false" ht="12.75" hidden="false" customHeight="true" outlineLevel="0" collapsed="false"/>
    <row r="164" customFormat="false" ht="12.75" hidden="false" customHeight="true" outlineLevel="0" collapsed="false"/>
    <row r="165" customFormat="false" ht="12.75" hidden="false" customHeight="true" outlineLevel="0" collapsed="false"/>
    <row r="166" customFormat="false" ht="12.75" hidden="false" customHeight="true" outlineLevel="0" collapsed="false"/>
    <row r="167" customFormat="false" ht="12.75" hidden="false" customHeight="true" outlineLevel="0" collapsed="false"/>
    <row r="168" customFormat="false" ht="12.75" hidden="false" customHeight="true" outlineLevel="0" collapsed="false"/>
    <row r="169" customFormat="false" ht="12.75" hidden="false" customHeight="true" outlineLevel="0" collapsed="false"/>
    <row r="170" customFormat="false" ht="12.75" hidden="false" customHeight="true" outlineLevel="0" collapsed="false"/>
    <row r="171" customFormat="false" ht="12.75" hidden="false" customHeight="true" outlineLevel="0" collapsed="false"/>
    <row r="172" customFormat="false" ht="12.75" hidden="false" customHeight="true" outlineLevel="0" collapsed="false"/>
    <row r="173" customFormat="false" ht="12.75" hidden="false" customHeight="true" outlineLevel="0" collapsed="false"/>
    <row r="174" customFormat="false" ht="12.75" hidden="false" customHeight="true" outlineLevel="0" collapsed="false"/>
    <row r="175" customFormat="false" ht="12.75" hidden="false" customHeight="true" outlineLevel="0" collapsed="false"/>
    <row r="176" customFormat="false" ht="12.75" hidden="false" customHeight="true" outlineLevel="0" collapsed="false"/>
    <row r="177" customFormat="false" ht="12.75" hidden="false" customHeight="true" outlineLevel="0" collapsed="false"/>
    <row r="178" customFormat="false" ht="12.75" hidden="false" customHeight="true" outlineLevel="0" collapsed="false"/>
    <row r="179" customFormat="false" ht="12.75" hidden="false" customHeight="true" outlineLevel="0" collapsed="false"/>
    <row r="180" customFormat="false" ht="12.75" hidden="false" customHeight="true" outlineLevel="0" collapsed="false"/>
    <row r="181" customFormat="false" ht="12.75" hidden="false" customHeight="true" outlineLevel="0" collapsed="false"/>
    <row r="182" customFormat="false" ht="12.75" hidden="false" customHeight="true" outlineLevel="0" collapsed="false"/>
    <row r="183" customFormat="false" ht="12.75" hidden="false" customHeight="true" outlineLevel="0" collapsed="false"/>
    <row r="184" customFormat="false" ht="12.75" hidden="false" customHeight="true" outlineLevel="0" collapsed="false"/>
    <row r="185" customFormat="false" ht="12.75" hidden="false" customHeight="true" outlineLevel="0" collapsed="false"/>
    <row r="186" customFormat="false" ht="12.75" hidden="false" customHeight="true" outlineLevel="0" collapsed="false"/>
    <row r="187" customFormat="false" ht="12.75" hidden="false" customHeight="true" outlineLevel="0" collapsed="false"/>
    <row r="188" customFormat="false" ht="12.75" hidden="false" customHeight="true" outlineLevel="0" collapsed="false"/>
    <row r="189" customFormat="false" ht="12.75" hidden="false" customHeight="true" outlineLevel="0" collapsed="false"/>
    <row r="190" customFormat="false" ht="12.75" hidden="false" customHeight="true" outlineLevel="0" collapsed="false"/>
    <row r="191" customFormat="false" ht="12.75" hidden="false" customHeight="true" outlineLevel="0" collapsed="false"/>
    <row r="192" customFormat="false" ht="12.75" hidden="false" customHeight="true" outlineLevel="0" collapsed="false"/>
    <row r="193" customFormat="false" ht="12.75" hidden="false" customHeight="true" outlineLevel="0" collapsed="false"/>
    <row r="194" customFormat="false" ht="12.75" hidden="false" customHeight="true" outlineLevel="0" collapsed="false"/>
    <row r="195" customFormat="false" ht="12.75" hidden="false" customHeight="true" outlineLevel="0" collapsed="false"/>
    <row r="196" customFormat="false" ht="12.75" hidden="false" customHeight="true" outlineLevel="0" collapsed="false"/>
    <row r="197" customFormat="false" ht="12.75" hidden="false" customHeight="true" outlineLevel="0" collapsed="false"/>
    <row r="198" customFormat="false" ht="12.75" hidden="false" customHeight="true" outlineLevel="0" collapsed="false"/>
    <row r="199" customFormat="false" ht="12.75" hidden="false" customHeight="true" outlineLevel="0" collapsed="false"/>
    <row r="200" customFormat="false" ht="12.75" hidden="false" customHeight="true" outlineLevel="0" collapsed="false"/>
    <row r="201" customFormat="false" ht="12.75" hidden="false" customHeight="true" outlineLevel="0" collapsed="false"/>
    <row r="202" customFormat="false" ht="12.75" hidden="false" customHeight="true" outlineLevel="0" collapsed="false"/>
    <row r="203" customFormat="false" ht="12.75" hidden="false" customHeight="true" outlineLevel="0" collapsed="false"/>
    <row r="204" customFormat="false" ht="12.75" hidden="false" customHeight="true" outlineLevel="0" collapsed="false"/>
    <row r="205" customFormat="false" ht="12.75" hidden="false" customHeight="true" outlineLevel="0" collapsed="false"/>
    <row r="206" customFormat="false" ht="12.75" hidden="false" customHeight="true" outlineLevel="0" collapsed="false"/>
    <row r="207" customFormat="false" ht="12.75" hidden="false" customHeight="true" outlineLevel="0" collapsed="false"/>
    <row r="208" customFormat="false" ht="12.75" hidden="false" customHeight="true" outlineLevel="0" collapsed="false"/>
    <row r="209" customFormat="false" ht="12.75" hidden="false" customHeight="true" outlineLevel="0" collapsed="false"/>
    <row r="210" customFormat="false" ht="12.75" hidden="false" customHeight="true" outlineLevel="0" collapsed="false"/>
    <row r="211" customFormat="false" ht="12.75" hidden="false" customHeight="true" outlineLevel="0" collapsed="false"/>
    <row r="212" customFormat="false" ht="12.75" hidden="false" customHeight="true" outlineLevel="0" collapsed="false"/>
    <row r="213" customFormat="false" ht="12.75" hidden="false" customHeight="true" outlineLevel="0" collapsed="false"/>
    <row r="214" customFormat="false" ht="12.75" hidden="false" customHeight="true" outlineLevel="0" collapsed="false"/>
    <row r="215" customFormat="false" ht="12.75" hidden="false" customHeight="true" outlineLevel="0" collapsed="false"/>
    <row r="216" customFormat="false" ht="12.75" hidden="false" customHeight="true" outlineLevel="0" collapsed="false"/>
    <row r="217" customFormat="false" ht="12.75" hidden="false" customHeight="true" outlineLevel="0" collapsed="false"/>
    <row r="218" customFormat="false" ht="12.75" hidden="false" customHeight="true" outlineLevel="0" collapsed="false"/>
    <row r="219" customFormat="false" ht="12.75" hidden="false" customHeight="true" outlineLevel="0" collapsed="false"/>
    <row r="220" customFormat="false" ht="12.75" hidden="false" customHeight="true" outlineLevel="0" collapsed="false"/>
    <row r="221" customFormat="false" ht="12.75" hidden="false" customHeight="true" outlineLevel="0" collapsed="false"/>
    <row r="222" customFormat="false" ht="12.75" hidden="false" customHeight="true" outlineLevel="0" collapsed="false"/>
    <row r="223" customFormat="false" ht="12.75" hidden="false" customHeight="true" outlineLevel="0" collapsed="false"/>
    <row r="224" customFormat="false" ht="12.75" hidden="false" customHeight="true" outlineLevel="0" collapsed="false"/>
    <row r="225" customFormat="false" ht="12.75" hidden="false" customHeight="true" outlineLevel="0" collapsed="false"/>
    <row r="226" customFormat="false" ht="12.75" hidden="false" customHeight="true" outlineLevel="0" collapsed="false"/>
    <row r="227" customFormat="false" ht="12.75" hidden="false" customHeight="true" outlineLevel="0" collapsed="false"/>
    <row r="228" customFormat="false" ht="12.75" hidden="false" customHeight="true" outlineLevel="0" collapsed="false"/>
    <row r="229" customFormat="false" ht="12.75" hidden="false" customHeight="true" outlineLevel="0" collapsed="false"/>
    <row r="230" customFormat="false" ht="12.75" hidden="false" customHeight="true" outlineLevel="0" collapsed="false"/>
    <row r="231" customFormat="false" ht="12.75" hidden="false" customHeight="true" outlineLevel="0" collapsed="false"/>
    <row r="232" customFormat="false" ht="12.75" hidden="false" customHeight="true" outlineLevel="0" collapsed="false"/>
    <row r="233" customFormat="false" ht="12.75" hidden="false" customHeight="true" outlineLevel="0" collapsed="false"/>
    <row r="234" customFormat="false" ht="12.75" hidden="false" customHeight="true" outlineLevel="0" collapsed="false"/>
    <row r="235" customFormat="false" ht="12.75" hidden="false" customHeight="true" outlineLevel="0" collapsed="false"/>
    <row r="236" customFormat="false" ht="12.75" hidden="false" customHeight="true" outlineLevel="0" collapsed="false"/>
    <row r="237" customFormat="false" ht="12.75" hidden="false" customHeight="true" outlineLevel="0" collapsed="false"/>
    <row r="238" customFormat="false" ht="12.75" hidden="false" customHeight="true" outlineLevel="0" collapsed="false"/>
    <row r="239" customFormat="false" ht="12.75" hidden="false" customHeight="true" outlineLevel="0" collapsed="false"/>
    <row r="240" customFormat="false" ht="12.75" hidden="false" customHeight="true" outlineLevel="0" collapsed="false"/>
    <row r="241" customFormat="false" ht="12.75" hidden="false" customHeight="true" outlineLevel="0" collapsed="false"/>
    <row r="242" customFormat="false" ht="12.75" hidden="false" customHeight="true" outlineLevel="0" collapsed="false"/>
    <row r="243" customFormat="false" ht="12.75" hidden="false" customHeight="true" outlineLevel="0" collapsed="false"/>
    <row r="244" customFormat="false" ht="12.75" hidden="false" customHeight="true" outlineLevel="0" collapsed="false"/>
    <row r="245" customFormat="false" ht="12.75" hidden="false" customHeight="true" outlineLevel="0" collapsed="false"/>
    <row r="246" customFormat="false" ht="12.75" hidden="false" customHeight="true" outlineLevel="0" collapsed="false"/>
    <row r="247" customFormat="false" ht="12.75" hidden="false" customHeight="true" outlineLevel="0" collapsed="false"/>
    <row r="248" customFormat="false" ht="12.75" hidden="false" customHeight="true" outlineLevel="0" collapsed="false"/>
    <row r="249" customFormat="false" ht="12.75" hidden="false" customHeight="true" outlineLevel="0" collapsed="false"/>
    <row r="250" customFormat="false" ht="12.75" hidden="false" customHeight="true" outlineLevel="0" collapsed="false"/>
    <row r="251" customFormat="false" ht="12.75" hidden="false" customHeight="true" outlineLevel="0" collapsed="false"/>
    <row r="252" customFormat="false" ht="12.75" hidden="false" customHeight="true" outlineLevel="0" collapsed="false"/>
    <row r="253" customFormat="false" ht="12.75" hidden="false" customHeight="true" outlineLevel="0" collapsed="false"/>
    <row r="254" customFormat="false" ht="12.75" hidden="false" customHeight="true" outlineLevel="0" collapsed="false"/>
    <row r="255" customFormat="false" ht="12.75" hidden="false" customHeight="true" outlineLevel="0" collapsed="false"/>
    <row r="256" customFormat="false" ht="12.75" hidden="false" customHeight="true" outlineLevel="0" collapsed="false"/>
    <row r="257" customFormat="false" ht="12.75" hidden="false" customHeight="true" outlineLevel="0" collapsed="false"/>
    <row r="258" customFormat="false" ht="12.75" hidden="false" customHeight="true" outlineLevel="0" collapsed="false"/>
    <row r="259" customFormat="false" ht="12.75" hidden="false" customHeight="true" outlineLevel="0" collapsed="false"/>
    <row r="260" customFormat="false" ht="12.75" hidden="false" customHeight="true" outlineLevel="0" collapsed="false"/>
    <row r="261" customFormat="false" ht="12.75" hidden="false" customHeight="true" outlineLevel="0" collapsed="false"/>
    <row r="262" customFormat="false" ht="12.75" hidden="false" customHeight="true" outlineLevel="0" collapsed="false"/>
    <row r="263" customFormat="false" ht="12.75" hidden="false" customHeight="true" outlineLevel="0" collapsed="false"/>
    <row r="264" customFormat="false" ht="12.75" hidden="false" customHeight="true" outlineLevel="0" collapsed="false"/>
    <row r="265" customFormat="false" ht="12.75" hidden="false" customHeight="true" outlineLevel="0" collapsed="false"/>
    <row r="266" customFormat="false" ht="12.75" hidden="false" customHeight="true" outlineLevel="0" collapsed="false"/>
    <row r="267" customFormat="false" ht="12.75" hidden="false" customHeight="true" outlineLevel="0" collapsed="false"/>
    <row r="268" customFormat="false" ht="12.75" hidden="false" customHeight="true" outlineLevel="0" collapsed="false"/>
    <row r="269" customFormat="false" ht="12.75" hidden="false" customHeight="true" outlineLevel="0" collapsed="false"/>
    <row r="270" customFormat="false" ht="12.75" hidden="false" customHeight="true" outlineLevel="0" collapsed="false"/>
    <row r="271" customFormat="false" ht="12.75" hidden="false" customHeight="true" outlineLevel="0" collapsed="false"/>
    <row r="272" customFormat="false" ht="12.75" hidden="false" customHeight="true" outlineLevel="0" collapsed="false"/>
    <row r="273" customFormat="false" ht="12.75" hidden="false" customHeight="true" outlineLevel="0" collapsed="false"/>
    <row r="274" customFormat="false" ht="12.75" hidden="false" customHeight="true" outlineLevel="0" collapsed="false"/>
    <row r="275" customFormat="false" ht="12.75" hidden="false" customHeight="true" outlineLevel="0" collapsed="false"/>
    <row r="276" customFormat="false" ht="12.75" hidden="false" customHeight="true" outlineLevel="0" collapsed="false"/>
    <row r="277" customFormat="false" ht="12.75" hidden="false" customHeight="true" outlineLevel="0" collapsed="false"/>
    <row r="278" customFormat="false" ht="12.75" hidden="false" customHeight="true" outlineLevel="0" collapsed="false"/>
    <row r="279" customFormat="false" ht="12.75" hidden="false" customHeight="true" outlineLevel="0" collapsed="false"/>
    <row r="280" customFormat="false" ht="12.75" hidden="false" customHeight="true" outlineLevel="0" collapsed="false"/>
    <row r="281" customFormat="false" ht="12.75" hidden="false" customHeight="true" outlineLevel="0" collapsed="false"/>
    <row r="282" customFormat="false" ht="12.75" hidden="false" customHeight="true" outlineLevel="0" collapsed="false"/>
    <row r="283" customFormat="false" ht="12.75" hidden="false" customHeight="true" outlineLevel="0" collapsed="false"/>
    <row r="284" customFormat="false" ht="12.75" hidden="false" customHeight="true" outlineLevel="0" collapsed="false"/>
    <row r="285" customFormat="false" ht="12.75" hidden="false" customHeight="true" outlineLevel="0" collapsed="false"/>
    <row r="286" customFormat="false" ht="12.75" hidden="false" customHeight="true" outlineLevel="0" collapsed="false"/>
    <row r="287" customFormat="false" ht="12.75" hidden="false" customHeight="true" outlineLevel="0" collapsed="false"/>
    <row r="288" customFormat="false" ht="12.75" hidden="false" customHeight="true" outlineLevel="0" collapsed="false"/>
    <row r="289" customFormat="false" ht="12.75" hidden="false" customHeight="true" outlineLevel="0" collapsed="false"/>
    <row r="290" customFormat="false" ht="12.75" hidden="false" customHeight="true" outlineLevel="0" collapsed="false"/>
    <row r="291" customFormat="false" ht="12.75" hidden="false" customHeight="true" outlineLevel="0" collapsed="false"/>
    <row r="292" customFormat="false" ht="12.75" hidden="false" customHeight="true" outlineLevel="0" collapsed="false"/>
    <row r="293" customFormat="false" ht="12.75" hidden="false" customHeight="true" outlineLevel="0" collapsed="false"/>
    <row r="294" customFormat="false" ht="12.75" hidden="false" customHeight="true" outlineLevel="0" collapsed="false"/>
    <row r="295" customFormat="false" ht="12.75" hidden="false" customHeight="true" outlineLevel="0" collapsed="false"/>
    <row r="296" customFormat="false" ht="12.75" hidden="false" customHeight="true" outlineLevel="0" collapsed="false"/>
    <row r="297" customFormat="false" ht="12.75" hidden="false" customHeight="true" outlineLevel="0" collapsed="false"/>
    <row r="298" customFormat="false" ht="12.75" hidden="false" customHeight="true" outlineLevel="0" collapsed="false"/>
    <row r="299" customFormat="false" ht="12.75" hidden="false" customHeight="true" outlineLevel="0" collapsed="false"/>
    <row r="300" customFormat="false" ht="12.75" hidden="false" customHeight="true" outlineLevel="0" collapsed="false"/>
    <row r="301" customFormat="false" ht="12.75" hidden="false" customHeight="true" outlineLevel="0" collapsed="false"/>
    <row r="302" customFormat="false" ht="12.75" hidden="false" customHeight="true" outlineLevel="0" collapsed="false"/>
    <row r="303" customFormat="false" ht="12.75" hidden="false" customHeight="true" outlineLevel="0" collapsed="false"/>
    <row r="304" customFormat="false" ht="12.75" hidden="false" customHeight="true" outlineLevel="0" collapsed="false"/>
    <row r="305" customFormat="false" ht="12.75" hidden="false" customHeight="true" outlineLevel="0" collapsed="false"/>
    <row r="306" customFormat="false" ht="12.75" hidden="false" customHeight="true" outlineLevel="0" collapsed="false"/>
    <row r="307" customFormat="false" ht="12.75" hidden="false" customHeight="true" outlineLevel="0" collapsed="false"/>
    <row r="308" customFormat="false" ht="12.75" hidden="false" customHeight="true" outlineLevel="0" collapsed="false"/>
    <row r="309" customFormat="false" ht="12.75" hidden="false" customHeight="true" outlineLevel="0" collapsed="false"/>
    <row r="310" customFormat="false" ht="12.75" hidden="false" customHeight="true" outlineLevel="0" collapsed="false"/>
    <row r="311" customFormat="false" ht="12.75" hidden="false" customHeight="true" outlineLevel="0" collapsed="false"/>
    <row r="312" customFormat="false" ht="12.75" hidden="false" customHeight="true" outlineLevel="0" collapsed="false"/>
    <row r="313" customFormat="false" ht="12.75" hidden="false" customHeight="true" outlineLevel="0" collapsed="false"/>
    <row r="314" customFormat="false" ht="12.75" hidden="false" customHeight="true" outlineLevel="0" collapsed="false"/>
    <row r="315" customFormat="false" ht="12.75" hidden="false" customHeight="true" outlineLevel="0" collapsed="false"/>
    <row r="316" customFormat="false" ht="12.75" hidden="false" customHeight="true" outlineLevel="0" collapsed="false"/>
    <row r="317" customFormat="false" ht="12.75" hidden="false" customHeight="true" outlineLevel="0" collapsed="false"/>
    <row r="318" customFormat="false" ht="12.75" hidden="false" customHeight="true" outlineLevel="0" collapsed="false"/>
    <row r="319" customFormat="false" ht="12.75" hidden="false" customHeight="true" outlineLevel="0" collapsed="false"/>
    <row r="320" customFormat="false" ht="12.75" hidden="false" customHeight="true" outlineLevel="0" collapsed="false"/>
    <row r="321" customFormat="false" ht="12.75" hidden="false" customHeight="true" outlineLevel="0" collapsed="false"/>
    <row r="322" customFormat="false" ht="12.75" hidden="false" customHeight="true" outlineLevel="0" collapsed="false"/>
    <row r="323" customFormat="false" ht="12.75" hidden="false" customHeight="true" outlineLevel="0" collapsed="false"/>
    <row r="324" customFormat="false" ht="12.75" hidden="false" customHeight="true" outlineLevel="0" collapsed="false"/>
    <row r="325" customFormat="false" ht="12.75" hidden="false" customHeight="true" outlineLevel="0" collapsed="false"/>
    <row r="326" customFormat="false" ht="12.75" hidden="false" customHeight="true" outlineLevel="0" collapsed="false"/>
    <row r="327" customFormat="false" ht="12.75" hidden="false" customHeight="true" outlineLevel="0" collapsed="false"/>
    <row r="328" customFormat="false" ht="12.75" hidden="false" customHeight="true" outlineLevel="0" collapsed="false"/>
    <row r="329" customFormat="false" ht="12.75" hidden="false" customHeight="true" outlineLevel="0" collapsed="false"/>
    <row r="330" customFormat="false" ht="12.75" hidden="false" customHeight="true" outlineLevel="0" collapsed="false"/>
    <row r="331" customFormat="false" ht="12.75" hidden="false" customHeight="true" outlineLevel="0" collapsed="false"/>
    <row r="332" customFormat="false" ht="12.75" hidden="false" customHeight="true" outlineLevel="0" collapsed="false"/>
    <row r="333" customFormat="false" ht="12.75" hidden="false" customHeight="true" outlineLevel="0" collapsed="false"/>
    <row r="334" customFormat="false" ht="12.75" hidden="false" customHeight="true" outlineLevel="0" collapsed="false"/>
    <row r="335" customFormat="false" ht="12.75" hidden="false" customHeight="true" outlineLevel="0" collapsed="false"/>
    <row r="336" customFormat="false" ht="12.75" hidden="false" customHeight="true" outlineLevel="0" collapsed="false"/>
    <row r="337" customFormat="false" ht="12.75" hidden="false" customHeight="true" outlineLevel="0" collapsed="false"/>
    <row r="338" customFormat="false" ht="12.75" hidden="false" customHeight="true" outlineLevel="0" collapsed="false"/>
    <row r="339" customFormat="false" ht="12.75" hidden="false" customHeight="true" outlineLevel="0" collapsed="false"/>
    <row r="340" customFormat="false" ht="12.75" hidden="false" customHeight="true" outlineLevel="0" collapsed="false"/>
    <row r="341" customFormat="false" ht="12.75" hidden="false" customHeight="true" outlineLevel="0" collapsed="false"/>
    <row r="342" customFormat="false" ht="12.75" hidden="false" customHeight="true" outlineLevel="0" collapsed="false"/>
    <row r="343" customFormat="false" ht="12.75" hidden="false" customHeight="true" outlineLevel="0" collapsed="false"/>
    <row r="344" customFormat="false" ht="12.75" hidden="false" customHeight="true" outlineLevel="0" collapsed="false"/>
    <row r="345" customFormat="false" ht="12.75" hidden="false" customHeight="true" outlineLevel="0" collapsed="false"/>
    <row r="346" customFormat="false" ht="12.75" hidden="false" customHeight="true" outlineLevel="0" collapsed="false"/>
    <row r="347" customFormat="false" ht="12.75" hidden="false" customHeight="true" outlineLevel="0" collapsed="false"/>
    <row r="348" customFormat="false" ht="12.75" hidden="false" customHeight="true" outlineLevel="0" collapsed="false"/>
    <row r="349" customFormat="false" ht="12.75" hidden="false" customHeight="true" outlineLevel="0" collapsed="false"/>
    <row r="350" customFormat="false" ht="12.75" hidden="false" customHeight="true" outlineLevel="0" collapsed="false"/>
    <row r="351" customFormat="false" ht="12.75" hidden="false" customHeight="true" outlineLevel="0" collapsed="false"/>
    <row r="352" customFormat="false" ht="12.75" hidden="false" customHeight="true" outlineLevel="0" collapsed="false"/>
    <row r="353" customFormat="false" ht="12.75" hidden="false" customHeight="true" outlineLevel="0" collapsed="false"/>
    <row r="354" customFormat="false" ht="12.75" hidden="false" customHeight="true" outlineLevel="0" collapsed="false"/>
    <row r="355" customFormat="false" ht="12.75" hidden="false" customHeight="true" outlineLevel="0" collapsed="false"/>
    <row r="356" customFormat="false" ht="12.75" hidden="false" customHeight="true" outlineLevel="0" collapsed="false"/>
    <row r="357" customFormat="false" ht="12.75" hidden="false" customHeight="true" outlineLevel="0" collapsed="false"/>
    <row r="358" customFormat="false" ht="12.75" hidden="false" customHeight="true" outlineLevel="0" collapsed="false"/>
    <row r="359" customFormat="false" ht="12.75" hidden="false" customHeight="true" outlineLevel="0" collapsed="false"/>
    <row r="360" customFormat="false" ht="12.75" hidden="false" customHeight="true" outlineLevel="0" collapsed="false"/>
    <row r="361" customFormat="false" ht="12.75" hidden="false" customHeight="true" outlineLevel="0" collapsed="false"/>
    <row r="362" customFormat="false" ht="12.75" hidden="false" customHeight="true" outlineLevel="0" collapsed="false"/>
    <row r="363" customFormat="false" ht="12.75" hidden="false" customHeight="true" outlineLevel="0" collapsed="false"/>
    <row r="364" customFormat="false" ht="12.75" hidden="false" customHeight="true" outlineLevel="0" collapsed="false"/>
    <row r="365" customFormat="false" ht="12.75" hidden="false" customHeight="true" outlineLevel="0" collapsed="false"/>
    <row r="366" customFormat="false" ht="12.75" hidden="false" customHeight="true" outlineLevel="0" collapsed="false"/>
    <row r="367" customFormat="false" ht="12.75" hidden="false" customHeight="true" outlineLevel="0" collapsed="false"/>
    <row r="368" customFormat="false" ht="12.75" hidden="false" customHeight="true" outlineLevel="0" collapsed="false"/>
    <row r="369" customFormat="false" ht="12.75" hidden="false" customHeight="true" outlineLevel="0" collapsed="false"/>
    <row r="370" customFormat="false" ht="12.75" hidden="false" customHeight="true" outlineLevel="0" collapsed="false"/>
    <row r="371" customFormat="false" ht="12.75" hidden="false" customHeight="true" outlineLevel="0" collapsed="false"/>
    <row r="372" customFormat="false" ht="12.75" hidden="false" customHeight="true" outlineLevel="0" collapsed="false"/>
    <row r="373" customFormat="false" ht="12.75" hidden="false" customHeight="true" outlineLevel="0" collapsed="false"/>
    <row r="374" customFormat="false" ht="12.75" hidden="false" customHeight="true" outlineLevel="0" collapsed="false"/>
    <row r="375" customFormat="false" ht="12.75" hidden="false" customHeight="true" outlineLevel="0" collapsed="false"/>
    <row r="376" customFormat="false" ht="12.75" hidden="false" customHeight="true" outlineLevel="0" collapsed="false"/>
    <row r="377" customFormat="false" ht="12.75" hidden="false" customHeight="true" outlineLevel="0" collapsed="false"/>
    <row r="378" customFormat="false" ht="12.75" hidden="false" customHeight="true" outlineLevel="0" collapsed="false"/>
    <row r="379" customFormat="false" ht="12.75" hidden="false" customHeight="true" outlineLevel="0" collapsed="false"/>
    <row r="380" customFormat="false" ht="12.75" hidden="false" customHeight="true" outlineLevel="0" collapsed="false"/>
    <row r="381" customFormat="false" ht="12.75" hidden="false" customHeight="true" outlineLevel="0" collapsed="false"/>
    <row r="382" customFormat="false" ht="12.75" hidden="false" customHeight="true" outlineLevel="0" collapsed="false"/>
    <row r="383" customFormat="false" ht="12.75" hidden="false" customHeight="true" outlineLevel="0" collapsed="false"/>
    <row r="384" customFormat="false" ht="12.75" hidden="false" customHeight="true" outlineLevel="0" collapsed="false"/>
    <row r="385" customFormat="false" ht="12.75" hidden="false" customHeight="true" outlineLevel="0" collapsed="false"/>
    <row r="386" customFormat="false" ht="12.75" hidden="false" customHeight="true" outlineLevel="0" collapsed="false"/>
    <row r="387" customFormat="false" ht="12.75" hidden="false" customHeight="true" outlineLevel="0" collapsed="false"/>
    <row r="388" customFormat="false" ht="12.75" hidden="false" customHeight="true" outlineLevel="0" collapsed="false"/>
    <row r="389" customFormat="false" ht="12.75" hidden="false" customHeight="true" outlineLevel="0" collapsed="false"/>
    <row r="390" customFormat="false" ht="12.75" hidden="false" customHeight="true" outlineLevel="0" collapsed="false"/>
    <row r="391" customFormat="false" ht="12.75" hidden="false" customHeight="true" outlineLevel="0" collapsed="false"/>
    <row r="392" customFormat="false" ht="12.75" hidden="false" customHeight="true" outlineLevel="0" collapsed="false"/>
    <row r="393" customFormat="false" ht="12.75" hidden="false" customHeight="true" outlineLevel="0" collapsed="false"/>
    <row r="394" customFormat="false" ht="12.75" hidden="false" customHeight="true" outlineLevel="0" collapsed="false"/>
    <row r="395" customFormat="false" ht="12.75" hidden="false" customHeight="true" outlineLevel="0" collapsed="false"/>
    <row r="396" customFormat="false" ht="12.75" hidden="false" customHeight="true" outlineLevel="0" collapsed="false"/>
    <row r="397" customFormat="false" ht="12.75" hidden="false" customHeight="true" outlineLevel="0" collapsed="false"/>
    <row r="398" customFormat="false" ht="12.75" hidden="false" customHeight="true" outlineLevel="0" collapsed="false"/>
    <row r="399" customFormat="false" ht="12.75" hidden="false" customHeight="true" outlineLevel="0" collapsed="false"/>
    <row r="400" customFormat="false" ht="12.75" hidden="false" customHeight="true" outlineLevel="0" collapsed="false"/>
    <row r="401" customFormat="false" ht="12.75" hidden="false" customHeight="true" outlineLevel="0" collapsed="false"/>
    <row r="402" customFormat="false" ht="12.75" hidden="false" customHeight="true" outlineLevel="0" collapsed="false"/>
    <row r="403" customFormat="false" ht="12.75" hidden="false" customHeight="true" outlineLevel="0" collapsed="false"/>
    <row r="404" customFormat="false" ht="12.75" hidden="false" customHeight="true" outlineLevel="0" collapsed="false"/>
    <row r="405" customFormat="false" ht="12.75" hidden="false" customHeight="true" outlineLevel="0" collapsed="false"/>
    <row r="406" customFormat="false" ht="12.75" hidden="false" customHeight="true" outlineLevel="0" collapsed="false"/>
    <row r="407" customFormat="false" ht="12.75" hidden="false" customHeight="true" outlineLevel="0" collapsed="false"/>
    <row r="408" customFormat="false" ht="12.75" hidden="false" customHeight="true" outlineLevel="0" collapsed="false"/>
    <row r="409" customFormat="false" ht="12.75" hidden="false" customHeight="true" outlineLevel="0" collapsed="false"/>
    <row r="410" customFormat="false" ht="12.75" hidden="false" customHeight="true" outlineLevel="0" collapsed="false"/>
    <row r="411" customFormat="false" ht="12.75" hidden="false" customHeight="true" outlineLevel="0" collapsed="false"/>
    <row r="412" customFormat="false" ht="12.75" hidden="false" customHeight="true" outlineLevel="0" collapsed="false"/>
    <row r="413" customFormat="false" ht="12.75" hidden="false" customHeight="true" outlineLevel="0" collapsed="false"/>
    <row r="414" customFormat="false" ht="12.75" hidden="false" customHeight="true" outlineLevel="0" collapsed="false"/>
    <row r="415" customFormat="false" ht="12.75" hidden="false" customHeight="true" outlineLevel="0" collapsed="false"/>
    <row r="416" customFormat="false" ht="12.75" hidden="false" customHeight="true" outlineLevel="0" collapsed="false"/>
    <row r="417" customFormat="false" ht="12.75" hidden="false" customHeight="true" outlineLevel="0" collapsed="false"/>
    <row r="418" customFormat="false" ht="12.75" hidden="false" customHeight="true" outlineLevel="0" collapsed="false"/>
    <row r="419" customFormat="false" ht="12.75" hidden="false" customHeight="true" outlineLevel="0" collapsed="false"/>
    <row r="420" customFormat="false" ht="12.75" hidden="false" customHeight="true" outlineLevel="0" collapsed="false"/>
    <row r="421" customFormat="false" ht="12.75" hidden="false" customHeight="true" outlineLevel="0" collapsed="false"/>
    <row r="422" customFormat="false" ht="12.75" hidden="false" customHeight="true" outlineLevel="0" collapsed="false"/>
    <row r="423" customFormat="false" ht="12.75" hidden="false" customHeight="true" outlineLevel="0" collapsed="false"/>
    <row r="424" customFormat="false" ht="12.75" hidden="false" customHeight="true" outlineLevel="0" collapsed="false"/>
    <row r="425" customFormat="false" ht="12.75" hidden="false" customHeight="true" outlineLevel="0" collapsed="false"/>
    <row r="426" customFormat="false" ht="12.75" hidden="false" customHeight="true" outlineLevel="0" collapsed="false"/>
    <row r="427" customFormat="false" ht="12.75" hidden="false" customHeight="true" outlineLevel="0" collapsed="false"/>
    <row r="428" customFormat="false" ht="12.75" hidden="false" customHeight="true" outlineLevel="0" collapsed="false"/>
    <row r="429" customFormat="false" ht="12.75" hidden="false" customHeight="true" outlineLevel="0" collapsed="false"/>
    <row r="430" customFormat="false" ht="12.75" hidden="false" customHeight="true" outlineLevel="0" collapsed="false"/>
    <row r="431" customFormat="false" ht="12.75" hidden="false" customHeight="true" outlineLevel="0" collapsed="false"/>
    <row r="432" customFormat="false" ht="12.75" hidden="false" customHeight="true" outlineLevel="0" collapsed="false"/>
    <row r="433" customFormat="false" ht="12.75" hidden="false" customHeight="true" outlineLevel="0" collapsed="false"/>
    <row r="434" customFormat="false" ht="12.75" hidden="false" customHeight="true" outlineLevel="0" collapsed="false"/>
    <row r="435" customFormat="false" ht="12.75" hidden="false" customHeight="true" outlineLevel="0" collapsed="false"/>
    <row r="436" customFormat="false" ht="12.75" hidden="false" customHeight="true" outlineLevel="0" collapsed="false"/>
    <row r="437" customFormat="false" ht="12.75" hidden="false" customHeight="true" outlineLevel="0" collapsed="false"/>
    <row r="438" customFormat="false" ht="12.75" hidden="false" customHeight="true" outlineLevel="0" collapsed="false"/>
    <row r="439" customFormat="false" ht="12.75" hidden="false" customHeight="true" outlineLevel="0" collapsed="false"/>
    <row r="440" customFormat="false" ht="12.75" hidden="false" customHeight="true" outlineLevel="0" collapsed="false"/>
    <row r="441" customFormat="false" ht="12.75" hidden="false" customHeight="true" outlineLevel="0" collapsed="false"/>
    <row r="442" customFormat="false" ht="12.75" hidden="false" customHeight="true" outlineLevel="0" collapsed="false"/>
    <row r="443" customFormat="false" ht="12.75" hidden="false" customHeight="true" outlineLevel="0" collapsed="false"/>
    <row r="444" customFormat="false" ht="12.75" hidden="false" customHeight="true" outlineLevel="0" collapsed="false"/>
    <row r="445" customFormat="false" ht="12.75" hidden="false" customHeight="true" outlineLevel="0" collapsed="false"/>
    <row r="446" customFormat="false" ht="12.75" hidden="false" customHeight="true" outlineLevel="0" collapsed="false"/>
    <row r="447" customFormat="false" ht="12.75" hidden="false" customHeight="true" outlineLevel="0" collapsed="false"/>
    <row r="448" customFormat="false" ht="12.75" hidden="false" customHeight="true" outlineLevel="0" collapsed="false"/>
    <row r="449" customFormat="false" ht="12.75" hidden="false" customHeight="true" outlineLevel="0" collapsed="false"/>
    <row r="450" customFormat="false" ht="12.75" hidden="false" customHeight="true" outlineLevel="0" collapsed="false"/>
    <row r="451" customFormat="false" ht="12.75" hidden="false" customHeight="true" outlineLevel="0" collapsed="false"/>
    <row r="452" customFormat="false" ht="12.75" hidden="false" customHeight="true" outlineLevel="0" collapsed="false"/>
    <row r="453" customFormat="false" ht="12.75" hidden="false" customHeight="true" outlineLevel="0" collapsed="false"/>
    <row r="454" customFormat="false" ht="12.75" hidden="false" customHeight="true" outlineLevel="0" collapsed="false"/>
    <row r="455" customFormat="false" ht="12.75" hidden="false" customHeight="true" outlineLevel="0" collapsed="false"/>
    <row r="456" customFormat="false" ht="12.75" hidden="false" customHeight="true" outlineLevel="0" collapsed="false"/>
    <row r="457" customFormat="false" ht="12.75" hidden="false" customHeight="true" outlineLevel="0" collapsed="false"/>
    <row r="458" customFormat="false" ht="12.75" hidden="false" customHeight="true" outlineLevel="0" collapsed="false"/>
    <row r="459" customFormat="false" ht="12.75" hidden="false" customHeight="true" outlineLevel="0" collapsed="false"/>
    <row r="460" customFormat="false" ht="12.75" hidden="false" customHeight="true" outlineLevel="0" collapsed="false"/>
    <row r="461" customFormat="false" ht="12.75" hidden="false" customHeight="true" outlineLevel="0" collapsed="false"/>
    <row r="462" customFormat="false" ht="12.75" hidden="false" customHeight="true" outlineLevel="0" collapsed="false"/>
    <row r="463" customFormat="false" ht="12.75" hidden="false" customHeight="true" outlineLevel="0" collapsed="false"/>
    <row r="464" customFormat="false" ht="12.75" hidden="false" customHeight="true" outlineLevel="0" collapsed="false"/>
    <row r="465" customFormat="false" ht="12.75" hidden="false" customHeight="true" outlineLevel="0" collapsed="false"/>
    <row r="466" customFormat="false" ht="12.75" hidden="false" customHeight="true" outlineLevel="0" collapsed="false"/>
    <row r="467" customFormat="false" ht="12.75" hidden="false" customHeight="true" outlineLevel="0" collapsed="false"/>
    <row r="468" customFormat="false" ht="12.75" hidden="false" customHeight="true" outlineLevel="0" collapsed="false"/>
    <row r="469" customFormat="false" ht="12.75" hidden="false" customHeight="true" outlineLevel="0" collapsed="false"/>
    <row r="470" customFormat="false" ht="12.75" hidden="false" customHeight="true" outlineLevel="0" collapsed="false"/>
    <row r="471" customFormat="false" ht="12.75" hidden="false" customHeight="true" outlineLevel="0" collapsed="false"/>
    <row r="472" customFormat="false" ht="12.75" hidden="false" customHeight="true" outlineLevel="0" collapsed="false"/>
    <row r="473" customFormat="false" ht="12.75" hidden="false" customHeight="true" outlineLevel="0" collapsed="false"/>
    <row r="474" customFormat="false" ht="12.75" hidden="false" customHeight="true" outlineLevel="0" collapsed="false"/>
    <row r="475" customFormat="false" ht="12.75" hidden="false" customHeight="true" outlineLevel="0" collapsed="false"/>
    <row r="476" customFormat="false" ht="12.75" hidden="false" customHeight="true" outlineLevel="0" collapsed="false"/>
    <row r="477" customFormat="false" ht="12.75" hidden="false" customHeight="true" outlineLevel="0" collapsed="false"/>
    <row r="478" customFormat="false" ht="12.75" hidden="false" customHeight="true" outlineLevel="0" collapsed="false"/>
    <row r="479" customFormat="false" ht="12.75" hidden="false" customHeight="true" outlineLevel="0" collapsed="false"/>
    <row r="480" customFormat="false" ht="12.75" hidden="false" customHeight="true" outlineLevel="0" collapsed="false"/>
    <row r="481" customFormat="false" ht="12.75" hidden="false" customHeight="true" outlineLevel="0" collapsed="false"/>
    <row r="482" customFormat="false" ht="12.75" hidden="false" customHeight="true" outlineLevel="0" collapsed="false"/>
    <row r="483" customFormat="false" ht="12.75" hidden="false" customHeight="true" outlineLevel="0" collapsed="false"/>
    <row r="484" customFormat="false" ht="12.75" hidden="false" customHeight="true" outlineLevel="0" collapsed="false"/>
    <row r="485" customFormat="false" ht="12.75" hidden="false" customHeight="true" outlineLevel="0" collapsed="false"/>
    <row r="486" customFormat="false" ht="12.75" hidden="false" customHeight="true" outlineLevel="0" collapsed="false"/>
    <row r="487" customFormat="false" ht="12.75" hidden="false" customHeight="true" outlineLevel="0" collapsed="false"/>
    <row r="488" customFormat="false" ht="12.75" hidden="false" customHeight="true" outlineLevel="0" collapsed="false"/>
    <row r="489" customFormat="false" ht="12.75" hidden="false" customHeight="true" outlineLevel="0" collapsed="false"/>
    <row r="490" customFormat="false" ht="12.75" hidden="false" customHeight="true" outlineLevel="0" collapsed="false"/>
    <row r="491" customFormat="false" ht="12.75" hidden="false" customHeight="true" outlineLevel="0" collapsed="false"/>
    <row r="492" customFormat="false" ht="12.75" hidden="false" customHeight="true" outlineLevel="0" collapsed="false"/>
    <row r="493" customFormat="false" ht="12.75" hidden="false" customHeight="true" outlineLevel="0" collapsed="false"/>
    <row r="494" customFormat="false" ht="12.75" hidden="false" customHeight="true" outlineLevel="0" collapsed="false"/>
    <row r="495" customFormat="false" ht="12.75" hidden="false" customHeight="true" outlineLevel="0" collapsed="false"/>
    <row r="496" customFormat="false" ht="12.75" hidden="false" customHeight="true" outlineLevel="0" collapsed="false"/>
    <row r="497" customFormat="false" ht="12.75" hidden="false" customHeight="true" outlineLevel="0" collapsed="false"/>
    <row r="498" customFormat="false" ht="12.75" hidden="false" customHeight="true" outlineLevel="0" collapsed="false"/>
    <row r="499" customFormat="false" ht="12.75" hidden="false" customHeight="true" outlineLevel="0" collapsed="false"/>
    <row r="500" customFormat="false" ht="12.75" hidden="false" customHeight="true" outlineLevel="0" collapsed="false"/>
    <row r="501" customFormat="false" ht="12.75" hidden="false" customHeight="true" outlineLevel="0" collapsed="false"/>
    <row r="502" customFormat="false" ht="12.75" hidden="false" customHeight="true" outlineLevel="0" collapsed="false"/>
    <row r="503" customFormat="false" ht="12.75" hidden="false" customHeight="true" outlineLevel="0" collapsed="false"/>
    <row r="504" customFormat="false" ht="12.75" hidden="false" customHeight="true" outlineLevel="0" collapsed="false"/>
    <row r="505" customFormat="false" ht="12.75" hidden="false" customHeight="true" outlineLevel="0" collapsed="false"/>
    <row r="506" customFormat="false" ht="12.75" hidden="false" customHeight="true" outlineLevel="0" collapsed="false"/>
    <row r="507" customFormat="false" ht="12.75" hidden="false" customHeight="true" outlineLevel="0" collapsed="false"/>
    <row r="508" customFormat="false" ht="12.75" hidden="false" customHeight="true" outlineLevel="0" collapsed="false"/>
    <row r="509" customFormat="false" ht="12.75" hidden="false" customHeight="true" outlineLevel="0" collapsed="false"/>
    <row r="510" customFormat="false" ht="12.75" hidden="false" customHeight="true" outlineLevel="0" collapsed="false"/>
    <row r="511" customFormat="false" ht="12.75" hidden="false" customHeight="true" outlineLevel="0" collapsed="false"/>
    <row r="512" customFormat="false" ht="12.75" hidden="false" customHeight="true" outlineLevel="0" collapsed="false"/>
    <row r="513" customFormat="false" ht="12.75" hidden="false" customHeight="true" outlineLevel="0" collapsed="false"/>
    <row r="514" customFormat="false" ht="12.75" hidden="false" customHeight="true" outlineLevel="0" collapsed="false"/>
    <row r="515" customFormat="false" ht="12.75" hidden="false" customHeight="true" outlineLevel="0" collapsed="false"/>
    <row r="516" customFormat="false" ht="12.75" hidden="false" customHeight="true" outlineLevel="0" collapsed="false"/>
    <row r="517" customFormat="false" ht="12.75" hidden="false" customHeight="true" outlineLevel="0" collapsed="false"/>
    <row r="518" customFormat="false" ht="12.75" hidden="false" customHeight="true" outlineLevel="0" collapsed="false"/>
    <row r="519" customFormat="false" ht="12.75" hidden="false" customHeight="true" outlineLevel="0" collapsed="false"/>
    <row r="520" customFormat="false" ht="12.75" hidden="false" customHeight="true" outlineLevel="0" collapsed="false"/>
    <row r="521" customFormat="false" ht="12.75" hidden="false" customHeight="true" outlineLevel="0" collapsed="false"/>
    <row r="522" customFormat="false" ht="12.75" hidden="false" customHeight="true" outlineLevel="0" collapsed="false"/>
    <row r="523" customFormat="false" ht="12.75" hidden="false" customHeight="true" outlineLevel="0" collapsed="false"/>
    <row r="524" customFormat="false" ht="12.75" hidden="false" customHeight="true" outlineLevel="0" collapsed="false"/>
    <row r="525" customFormat="false" ht="12.75" hidden="false" customHeight="true" outlineLevel="0" collapsed="false"/>
    <row r="526" customFormat="false" ht="12.75" hidden="false" customHeight="true" outlineLevel="0" collapsed="false"/>
    <row r="527" customFormat="false" ht="12.75" hidden="false" customHeight="true" outlineLevel="0" collapsed="false"/>
    <row r="528" customFormat="false" ht="12.75" hidden="false" customHeight="true" outlineLevel="0" collapsed="false"/>
    <row r="529" customFormat="false" ht="12.75" hidden="false" customHeight="true" outlineLevel="0" collapsed="false"/>
    <row r="530" customFormat="false" ht="12.75" hidden="false" customHeight="true" outlineLevel="0" collapsed="false"/>
    <row r="531" customFormat="false" ht="12.75" hidden="false" customHeight="true" outlineLevel="0" collapsed="false"/>
    <row r="532" customFormat="false" ht="12.75" hidden="false" customHeight="true" outlineLevel="0" collapsed="false"/>
    <row r="533" customFormat="false" ht="12.75" hidden="false" customHeight="true" outlineLevel="0" collapsed="false"/>
    <row r="534" customFormat="false" ht="12.75" hidden="false" customHeight="true" outlineLevel="0" collapsed="false"/>
    <row r="535" customFormat="false" ht="12.75" hidden="false" customHeight="true" outlineLevel="0" collapsed="false"/>
    <row r="536" customFormat="false" ht="12.75" hidden="false" customHeight="true" outlineLevel="0" collapsed="false"/>
    <row r="537" customFormat="false" ht="12.75" hidden="false" customHeight="true" outlineLevel="0" collapsed="false"/>
    <row r="538" customFormat="false" ht="12.75" hidden="false" customHeight="true" outlineLevel="0" collapsed="false"/>
    <row r="539" customFormat="false" ht="12.75" hidden="false" customHeight="true" outlineLevel="0" collapsed="false"/>
    <row r="540" customFormat="false" ht="12.75" hidden="false" customHeight="true" outlineLevel="0" collapsed="false"/>
    <row r="541" customFormat="false" ht="12.75" hidden="false" customHeight="true" outlineLevel="0" collapsed="false"/>
    <row r="542" customFormat="false" ht="12.75" hidden="false" customHeight="true" outlineLevel="0" collapsed="false"/>
    <row r="543" customFormat="false" ht="12.75" hidden="false" customHeight="true" outlineLevel="0" collapsed="false"/>
    <row r="544" customFormat="false" ht="12.75" hidden="false" customHeight="true" outlineLevel="0" collapsed="false"/>
    <row r="545" customFormat="false" ht="12.75" hidden="false" customHeight="true" outlineLevel="0" collapsed="false"/>
    <row r="546" customFormat="false" ht="12.75" hidden="false" customHeight="true" outlineLevel="0" collapsed="false"/>
    <row r="547" customFormat="false" ht="12.75" hidden="false" customHeight="true" outlineLevel="0" collapsed="false"/>
    <row r="548" customFormat="false" ht="12.75" hidden="false" customHeight="true" outlineLevel="0" collapsed="false"/>
    <row r="549" customFormat="false" ht="12.75" hidden="false" customHeight="true" outlineLevel="0" collapsed="false"/>
    <row r="550" customFormat="false" ht="12.75" hidden="false" customHeight="true" outlineLevel="0" collapsed="false"/>
    <row r="551" customFormat="false" ht="12.75" hidden="false" customHeight="true" outlineLevel="0" collapsed="false"/>
    <row r="552" customFormat="false" ht="12.75" hidden="false" customHeight="true" outlineLevel="0" collapsed="false"/>
    <row r="553" customFormat="false" ht="12.75" hidden="false" customHeight="true" outlineLevel="0" collapsed="false"/>
    <row r="554" customFormat="false" ht="12.75" hidden="false" customHeight="true" outlineLevel="0" collapsed="false"/>
    <row r="555" customFormat="false" ht="12.75" hidden="false" customHeight="true" outlineLevel="0" collapsed="false"/>
    <row r="556" customFormat="false" ht="12.75" hidden="false" customHeight="true" outlineLevel="0" collapsed="false"/>
    <row r="557" customFormat="false" ht="12.75" hidden="false" customHeight="true" outlineLevel="0" collapsed="false"/>
    <row r="558" customFormat="false" ht="12.75" hidden="false" customHeight="true" outlineLevel="0" collapsed="false"/>
    <row r="559" customFormat="false" ht="12.75" hidden="false" customHeight="true" outlineLevel="0" collapsed="false"/>
    <row r="560" customFormat="false" ht="12.75" hidden="false" customHeight="true" outlineLevel="0" collapsed="false"/>
    <row r="561" customFormat="false" ht="12.75" hidden="false" customHeight="true" outlineLevel="0" collapsed="false"/>
    <row r="562" customFormat="false" ht="12.75" hidden="false" customHeight="true" outlineLevel="0" collapsed="false"/>
    <row r="563" customFormat="false" ht="12.75" hidden="false" customHeight="true" outlineLevel="0" collapsed="false"/>
    <row r="564" customFormat="false" ht="12.75" hidden="false" customHeight="true" outlineLevel="0" collapsed="false"/>
    <row r="565" customFormat="false" ht="12.75" hidden="false" customHeight="true" outlineLevel="0" collapsed="false"/>
    <row r="566" customFormat="false" ht="12.75" hidden="false" customHeight="true" outlineLevel="0" collapsed="false"/>
    <row r="567" customFormat="false" ht="12.75" hidden="false" customHeight="true" outlineLevel="0" collapsed="false"/>
    <row r="568" customFormat="false" ht="12.75" hidden="false" customHeight="true" outlineLevel="0" collapsed="false"/>
    <row r="569" customFormat="false" ht="12.75" hidden="false" customHeight="true" outlineLevel="0" collapsed="false"/>
    <row r="570" customFormat="false" ht="12.75" hidden="false" customHeight="true" outlineLevel="0" collapsed="false"/>
    <row r="571" customFormat="false" ht="12.75" hidden="false" customHeight="true" outlineLevel="0" collapsed="false"/>
    <row r="572" customFormat="false" ht="12.75" hidden="false" customHeight="true" outlineLevel="0" collapsed="false"/>
    <row r="573" customFormat="false" ht="12.75" hidden="false" customHeight="true" outlineLevel="0" collapsed="false"/>
    <row r="574" customFormat="false" ht="12.75" hidden="false" customHeight="true" outlineLevel="0" collapsed="false"/>
    <row r="575" customFormat="false" ht="12.75" hidden="false" customHeight="true" outlineLevel="0" collapsed="false"/>
    <row r="576" customFormat="false" ht="12.75" hidden="false" customHeight="true" outlineLevel="0" collapsed="false"/>
    <row r="577" customFormat="false" ht="12.75" hidden="false" customHeight="true" outlineLevel="0" collapsed="false"/>
    <row r="578" customFormat="false" ht="12.75" hidden="false" customHeight="true" outlineLevel="0" collapsed="false"/>
    <row r="579" customFormat="false" ht="12.75" hidden="false" customHeight="true" outlineLevel="0" collapsed="false"/>
    <row r="580" customFormat="false" ht="12.75" hidden="false" customHeight="true" outlineLevel="0" collapsed="false"/>
    <row r="581" customFormat="false" ht="12.75" hidden="false" customHeight="true" outlineLevel="0" collapsed="false"/>
    <row r="582" customFormat="false" ht="12.75" hidden="false" customHeight="true" outlineLevel="0" collapsed="false"/>
    <row r="583" customFormat="false" ht="12.75" hidden="false" customHeight="true" outlineLevel="0" collapsed="false"/>
    <row r="584" customFormat="false" ht="12.75" hidden="false" customHeight="true" outlineLevel="0" collapsed="false"/>
    <row r="585" customFormat="false" ht="12.75" hidden="false" customHeight="true" outlineLevel="0" collapsed="false"/>
    <row r="586" customFormat="false" ht="12.75" hidden="false" customHeight="true" outlineLevel="0" collapsed="false"/>
    <row r="587" customFormat="false" ht="12.75" hidden="false" customHeight="true" outlineLevel="0" collapsed="false"/>
    <row r="588" customFormat="false" ht="12.75" hidden="false" customHeight="true" outlineLevel="0" collapsed="false"/>
    <row r="589" customFormat="false" ht="12.75" hidden="false" customHeight="true" outlineLevel="0" collapsed="false"/>
    <row r="590" customFormat="false" ht="12.75" hidden="false" customHeight="true" outlineLevel="0" collapsed="false"/>
    <row r="591" customFormat="false" ht="12.75" hidden="false" customHeight="true" outlineLevel="0" collapsed="false"/>
    <row r="592" customFormat="false" ht="12.75" hidden="false" customHeight="true" outlineLevel="0" collapsed="false"/>
    <row r="593" customFormat="false" ht="12.75" hidden="false" customHeight="true" outlineLevel="0" collapsed="false"/>
    <row r="594" customFormat="false" ht="12.75" hidden="false" customHeight="true" outlineLevel="0" collapsed="false"/>
    <row r="595" customFormat="false" ht="12.75" hidden="false" customHeight="true" outlineLevel="0" collapsed="false"/>
    <row r="596" customFormat="false" ht="12.75" hidden="false" customHeight="true" outlineLevel="0" collapsed="false"/>
    <row r="597" customFormat="false" ht="12.75" hidden="false" customHeight="true" outlineLevel="0" collapsed="false"/>
    <row r="598" customFormat="false" ht="12.75" hidden="false" customHeight="true" outlineLevel="0" collapsed="false"/>
    <row r="599" customFormat="false" ht="12.75" hidden="false" customHeight="true" outlineLevel="0" collapsed="false"/>
    <row r="600" customFormat="false" ht="12.75" hidden="false" customHeight="true" outlineLevel="0" collapsed="false"/>
    <row r="601" customFormat="false" ht="12.75" hidden="false" customHeight="true" outlineLevel="0" collapsed="false"/>
    <row r="602" customFormat="false" ht="12.75" hidden="false" customHeight="true" outlineLevel="0" collapsed="false"/>
    <row r="603" customFormat="false" ht="12.75" hidden="false" customHeight="true" outlineLevel="0" collapsed="false"/>
    <row r="604" customFormat="false" ht="12.75" hidden="false" customHeight="true" outlineLevel="0" collapsed="false"/>
    <row r="605" customFormat="false" ht="12.75" hidden="false" customHeight="true" outlineLevel="0" collapsed="false"/>
    <row r="606" customFormat="false" ht="12.75" hidden="false" customHeight="true" outlineLevel="0" collapsed="false"/>
    <row r="607" customFormat="false" ht="12.75" hidden="false" customHeight="true" outlineLevel="0" collapsed="false"/>
    <row r="608" customFormat="false" ht="12.75" hidden="false" customHeight="true" outlineLevel="0" collapsed="false"/>
    <row r="609" customFormat="false" ht="12.75" hidden="false" customHeight="true" outlineLevel="0" collapsed="false"/>
    <row r="610" customFormat="false" ht="12.75" hidden="false" customHeight="true" outlineLevel="0" collapsed="false"/>
    <row r="611" customFormat="false" ht="12.75" hidden="false" customHeight="true" outlineLevel="0" collapsed="false"/>
    <row r="612" customFormat="false" ht="12.75" hidden="false" customHeight="true" outlineLevel="0" collapsed="false"/>
    <row r="613" customFormat="false" ht="12.75" hidden="false" customHeight="true" outlineLevel="0" collapsed="false"/>
    <row r="614" customFormat="false" ht="12.75" hidden="false" customHeight="true" outlineLevel="0" collapsed="false"/>
    <row r="615" customFormat="false" ht="12.75" hidden="false" customHeight="true" outlineLevel="0" collapsed="false"/>
    <row r="616" customFormat="false" ht="12.75" hidden="false" customHeight="true" outlineLevel="0" collapsed="false"/>
    <row r="617" customFormat="false" ht="12.75" hidden="false" customHeight="true" outlineLevel="0" collapsed="false"/>
    <row r="618" customFormat="false" ht="12.75" hidden="false" customHeight="true" outlineLevel="0" collapsed="false"/>
    <row r="619" customFormat="false" ht="12.75" hidden="false" customHeight="true" outlineLevel="0" collapsed="false"/>
    <row r="620" customFormat="false" ht="12.75" hidden="false" customHeight="true" outlineLevel="0" collapsed="false"/>
    <row r="621" customFormat="false" ht="12.75" hidden="false" customHeight="true" outlineLevel="0" collapsed="false"/>
    <row r="622" customFormat="false" ht="12.75" hidden="false" customHeight="true" outlineLevel="0" collapsed="false"/>
    <row r="623" customFormat="false" ht="12.75" hidden="false" customHeight="true" outlineLevel="0" collapsed="false"/>
    <row r="624" customFormat="false" ht="12.75" hidden="false" customHeight="true" outlineLevel="0" collapsed="false"/>
    <row r="625" customFormat="false" ht="12.75" hidden="false" customHeight="true" outlineLevel="0" collapsed="false"/>
    <row r="626" customFormat="false" ht="12.75" hidden="false" customHeight="true" outlineLevel="0" collapsed="false"/>
    <row r="627" customFormat="false" ht="12.75" hidden="false" customHeight="true" outlineLevel="0" collapsed="false"/>
    <row r="628" customFormat="false" ht="12.75" hidden="false" customHeight="true" outlineLevel="0" collapsed="false"/>
    <row r="629" customFormat="false" ht="12.75" hidden="false" customHeight="true" outlineLevel="0" collapsed="false"/>
    <row r="630" customFormat="false" ht="12.75" hidden="false" customHeight="true" outlineLevel="0" collapsed="false"/>
    <row r="631" customFormat="false" ht="12.75" hidden="false" customHeight="true" outlineLevel="0" collapsed="false"/>
    <row r="632" customFormat="false" ht="12.75" hidden="false" customHeight="true" outlineLevel="0" collapsed="false"/>
    <row r="633" customFormat="false" ht="12.75" hidden="false" customHeight="true" outlineLevel="0" collapsed="false"/>
    <row r="634" customFormat="false" ht="12.75" hidden="false" customHeight="true" outlineLevel="0" collapsed="false"/>
    <row r="635" customFormat="false" ht="12.75" hidden="false" customHeight="true" outlineLevel="0" collapsed="false"/>
    <row r="636" customFormat="false" ht="12.75" hidden="false" customHeight="true" outlineLevel="0" collapsed="false"/>
    <row r="637" customFormat="false" ht="12.75" hidden="false" customHeight="true" outlineLevel="0" collapsed="false"/>
    <row r="638" customFormat="false" ht="12.75" hidden="false" customHeight="true" outlineLevel="0" collapsed="false"/>
    <row r="639" customFormat="false" ht="12.75" hidden="false" customHeight="true" outlineLevel="0" collapsed="false"/>
    <row r="640" customFormat="false" ht="12.75" hidden="false" customHeight="true" outlineLevel="0" collapsed="false"/>
    <row r="641" customFormat="false" ht="12.75" hidden="false" customHeight="true" outlineLevel="0" collapsed="false"/>
    <row r="642" customFormat="false" ht="12.75" hidden="false" customHeight="true" outlineLevel="0" collapsed="false"/>
    <row r="643" customFormat="false" ht="12.75" hidden="false" customHeight="true" outlineLevel="0" collapsed="false"/>
    <row r="644" customFormat="false" ht="12.75" hidden="false" customHeight="true" outlineLevel="0" collapsed="false"/>
    <row r="645" customFormat="false" ht="12.75" hidden="false" customHeight="true" outlineLevel="0" collapsed="false"/>
    <row r="646" customFormat="false" ht="12.75" hidden="false" customHeight="true" outlineLevel="0" collapsed="false"/>
    <row r="647" customFormat="false" ht="12.75" hidden="false" customHeight="true" outlineLevel="0" collapsed="false"/>
    <row r="648" customFormat="false" ht="12.75" hidden="false" customHeight="true" outlineLevel="0" collapsed="false"/>
    <row r="649" customFormat="false" ht="12.75" hidden="false" customHeight="true" outlineLevel="0" collapsed="false"/>
    <row r="650" customFormat="false" ht="12.75" hidden="false" customHeight="true" outlineLevel="0" collapsed="false"/>
    <row r="651" customFormat="false" ht="12.75" hidden="false" customHeight="true" outlineLevel="0" collapsed="false"/>
    <row r="652" customFormat="false" ht="12.75" hidden="false" customHeight="true" outlineLevel="0" collapsed="false"/>
    <row r="653" customFormat="false" ht="12.75" hidden="false" customHeight="true" outlineLevel="0" collapsed="false"/>
    <row r="654" customFormat="false" ht="12.75" hidden="false" customHeight="true" outlineLevel="0" collapsed="false"/>
    <row r="655" customFormat="false" ht="12.75" hidden="false" customHeight="true" outlineLevel="0" collapsed="false"/>
    <row r="656" customFormat="false" ht="12.75" hidden="false" customHeight="true" outlineLevel="0" collapsed="false"/>
    <row r="657" customFormat="false" ht="12.75" hidden="false" customHeight="true" outlineLevel="0" collapsed="false"/>
    <row r="658" customFormat="false" ht="12.75" hidden="false" customHeight="true" outlineLevel="0" collapsed="false"/>
    <row r="659" customFormat="false" ht="12.75" hidden="false" customHeight="true" outlineLevel="0" collapsed="false"/>
    <row r="660" customFormat="false" ht="12.75" hidden="false" customHeight="true" outlineLevel="0" collapsed="false"/>
    <row r="661" customFormat="false" ht="12.75" hidden="false" customHeight="true" outlineLevel="0" collapsed="false"/>
    <row r="662" customFormat="false" ht="12.75" hidden="false" customHeight="true" outlineLevel="0" collapsed="false"/>
    <row r="663" customFormat="false" ht="12.75" hidden="false" customHeight="true" outlineLevel="0" collapsed="false"/>
    <row r="664" customFormat="false" ht="12.75" hidden="false" customHeight="true" outlineLevel="0" collapsed="false"/>
    <row r="665" customFormat="false" ht="12.75" hidden="false" customHeight="true" outlineLevel="0" collapsed="false"/>
    <row r="666" customFormat="false" ht="12.75" hidden="false" customHeight="true" outlineLevel="0" collapsed="false"/>
    <row r="667" customFormat="false" ht="12.75" hidden="false" customHeight="true" outlineLevel="0" collapsed="false"/>
    <row r="668" customFormat="false" ht="12.75" hidden="false" customHeight="true" outlineLevel="0" collapsed="false"/>
    <row r="669" customFormat="false" ht="12.75" hidden="false" customHeight="true" outlineLevel="0" collapsed="false"/>
    <row r="670" customFormat="false" ht="12.75" hidden="false" customHeight="true" outlineLevel="0" collapsed="false"/>
    <row r="671" customFormat="false" ht="12.75" hidden="false" customHeight="true" outlineLevel="0" collapsed="false"/>
    <row r="672" customFormat="false" ht="12.75" hidden="false" customHeight="true" outlineLevel="0" collapsed="false"/>
    <row r="673" customFormat="false" ht="12.75" hidden="false" customHeight="true" outlineLevel="0" collapsed="false"/>
    <row r="674" customFormat="false" ht="12.75" hidden="false" customHeight="true" outlineLevel="0" collapsed="false"/>
    <row r="675" customFormat="false" ht="12.75" hidden="false" customHeight="true" outlineLevel="0" collapsed="false"/>
    <row r="676" customFormat="false" ht="12.75" hidden="false" customHeight="true" outlineLevel="0" collapsed="false"/>
    <row r="677" customFormat="false" ht="12.75" hidden="false" customHeight="true" outlineLevel="0" collapsed="false"/>
    <row r="678" customFormat="false" ht="12.75" hidden="false" customHeight="true" outlineLevel="0" collapsed="false"/>
    <row r="679" customFormat="false" ht="12.75" hidden="false" customHeight="true" outlineLevel="0" collapsed="false"/>
    <row r="680" customFormat="false" ht="12.75" hidden="false" customHeight="true" outlineLevel="0" collapsed="false"/>
    <row r="681" customFormat="false" ht="12.75" hidden="false" customHeight="true" outlineLevel="0" collapsed="false"/>
    <row r="682" customFormat="false" ht="12.75" hidden="false" customHeight="true" outlineLevel="0" collapsed="false"/>
    <row r="683" customFormat="false" ht="12.75" hidden="false" customHeight="true" outlineLevel="0" collapsed="false"/>
    <row r="684" customFormat="false" ht="12.75" hidden="false" customHeight="true" outlineLevel="0" collapsed="false"/>
    <row r="685" customFormat="false" ht="12.75" hidden="false" customHeight="true" outlineLevel="0" collapsed="false"/>
    <row r="686" customFormat="false" ht="12.75" hidden="false" customHeight="true" outlineLevel="0" collapsed="false"/>
    <row r="687" customFormat="false" ht="12.75" hidden="false" customHeight="true" outlineLevel="0" collapsed="false"/>
    <row r="688" customFormat="false" ht="12.75" hidden="false" customHeight="true" outlineLevel="0" collapsed="false"/>
    <row r="689" customFormat="false" ht="12.75" hidden="false" customHeight="true" outlineLevel="0" collapsed="false"/>
    <row r="690" customFormat="false" ht="12.75" hidden="false" customHeight="true" outlineLevel="0" collapsed="false"/>
    <row r="691" customFormat="false" ht="12.75" hidden="false" customHeight="true" outlineLevel="0" collapsed="false"/>
    <row r="692" customFormat="false" ht="12.75" hidden="false" customHeight="true" outlineLevel="0" collapsed="false"/>
    <row r="693" customFormat="false" ht="12.75" hidden="false" customHeight="true" outlineLevel="0" collapsed="false"/>
    <row r="694" customFormat="false" ht="12.75" hidden="false" customHeight="true" outlineLevel="0" collapsed="false"/>
    <row r="695" customFormat="false" ht="12.75" hidden="false" customHeight="true" outlineLevel="0" collapsed="false"/>
    <row r="696" customFormat="false" ht="12.75" hidden="false" customHeight="true" outlineLevel="0" collapsed="false"/>
    <row r="697" customFormat="false" ht="12.75" hidden="false" customHeight="true" outlineLevel="0" collapsed="false"/>
    <row r="698" customFormat="false" ht="12.75" hidden="false" customHeight="true" outlineLevel="0" collapsed="false"/>
    <row r="699" customFormat="false" ht="12.75" hidden="false" customHeight="true" outlineLevel="0" collapsed="false"/>
    <row r="700" customFormat="false" ht="12.75" hidden="false" customHeight="true" outlineLevel="0" collapsed="false"/>
    <row r="701" customFormat="false" ht="12.75" hidden="false" customHeight="true" outlineLevel="0" collapsed="false"/>
    <row r="702" customFormat="false" ht="12.75" hidden="false" customHeight="true" outlineLevel="0" collapsed="false"/>
    <row r="703" customFormat="false" ht="12.75" hidden="false" customHeight="true" outlineLevel="0" collapsed="false"/>
    <row r="704" customFormat="false" ht="12.75" hidden="false" customHeight="true" outlineLevel="0" collapsed="false"/>
    <row r="705" customFormat="false" ht="12.75" hidden="false" customHeight="true" outlineLevel="0" collapsed="false"/>
    <row r="706" customFormat="false" ht="12.75" hidden="false" customHeight="true" outlineLevel="0" collapsed="false"/>
    <row r="707" customFormat="false" ht="12.75" hidden="false" customHeight="true" outlineLevel="0" collapsed="false"/>
    <row r="708" customFormat="false" ht="12.75" hidden="false" customHeight="true" outlineLevel="0" collapsed="false"/>
    <row r="709" customFormat="false" ht="12.75" hidden="false" customHeight="true" outlineLevel="0" collapsed="false"/>
    <row r="710" customFormat="false" ht="12.75" hidden="false" customHeight="true" outlineLevel="0" collapsed="false"/>
    <row r="711" customFormat="false" ht="12.75" hidden="false" customHeight="true" outlineLevel="0" collapsed="false"/>
    <row r="712" customFormat="false" ht="12.75" hidden="false" customHeight="true" outlineLevel="0" collapsed="false"/>
    <row r="713" customFormat="false" ht="12.75" hidden="false" customHeight="true" outlineLevel="0" collapsed="false"/>
    <row r="714" customFormat="false" ht="12.75" hidden="false" customHeight="true" outlineLevel="0" collapsed="false"/>
    <row r="715" customFormat="false" ht="12.75" hidden="false" customHeight="true" outlineLevel="0" collapsed="false"/>
    <row r="716" customFormat="false" ht="12.75" hidden="false" customHeight="true" outlineLevel="0" collapsed="false"/>
    <row r="717" customFormat="false" ht="12.75" hidden="false" customHeight="true" outlineLevel="0" collapsed="false"/>
    <row r="718" customFormat="false" ht="12.75" hidden="false" customHeight="true" outlineLevel="0" collapsed="false"/>
    <row r="719" customFormat="false" ht="12.75" hidden="false" customHeight="true" outlineLevel="0" collapsed="false"/>
    <row r="720" customFormat="false" ht="12.75" hidden="false" customHeight="true" outlineLevel="0" collapsed="false"/>
    <row r="721" customFormat="false" ht="12.75" hidden="false" customHeight="true" outlineLevel="0" collapsed="false"/>
    <row r="722" customFormat="false" ht="12.75" hidden="false" customHeight="true" outlineLevel="0" collapsed="false"/>
    <row r="723" customFormat="false" ht="12.75" hidden="false" customHeight="true" outlineLevel="0" collapsed="false"/>
    <row r="724" customFormat="false" ht="12.75" hidden="false" customHeight="true" outlineLevel="0" collapsed="false"/>
    <row r="725" customFormat="false" ht="12.75" hidden="false" customHeight="true" outlineLevel="0" collapsed="false"/>
    <row r="726" customFormat="false" ht="12.75" hidden="false" customHeight="true" outlineLevel="0" collapsed="false"/>
    <row r="727" customFormat="false" ht="12.75" hidden="false" customHeight="true" outlineLevel="0" collapsed="false"/>
    <row r="728" customFormat="false" ht="12.75" hidden="false" customHeight="true" outlineLevel="0" collapsed="false"/>
    <row r="729" customFormat="false" ht="12.75" hidden="false" customHeight="true" outlineLevel="0" collapsed="false"/>
    <row r="730" customFormat="false" ht="12.75" hidden="false" customHeight="true" outlineLevel="0" collapsed="false"/>
    <row r="731" customFormat="false" ht="12.75" hidden="false" customHeight="true" outlineLevel="0" collapsed="false"/>
    <row r="732" customFormat="false" ht="12.75" hidden="false" customHeight="true" outlineLevel="0" collapsed="false"/>
    <row r="733" customFormat="false" ht="12.75" hidden="false" customHeight="true" outlineLevel="0" collapsed="false"/>
    <row r="734" customFormat="false" ht="12.75" hidden="false" customHeight="true" outlineLevel="0" collapsed="false"/>
    <row r="735" customFormat="false" ht="12.75" hidden="false" customHeight="true" outlineLevel="0" collapsed="false"/>
    <row r="736" customFormat="false" ht="12.75" hidden="false" customHeight="true" outlineLevel="0" collapsed="false"/>
    <row r="737" customFormat="false" ht="12.75" hidden="false" customHeight="true" outlineLevel="0" collapsed="false"/>
    <row r="738" customFormat="false" ht="12.75" hidden="false" customHeight="true" outlineLevel="0" collapsed="false"/>
    <row r="739" customFormat="false" ht="12.75" hidden="false" customHeight="true" outlineLevel="0" collapsed="false"/>
    <row r="740" customFormat="false" ht="12.75" hidden="false" customHeight="true" outlineLevel="0" collapsed="false"/>
    <row r="741" customFormat="false" ht="12.75" hidden="false" customHeight="true" outlineLevel="0" collapsed="false"/>
    <row r="742" customFormat="false" ht="12.75" hidden="false" customHeight="true" outlineLevel="0" collapsed="false"/>
    <row r="743" customFormat="false" ht="12.75" hidden="false" customHeight="true" outlineLevel="0" collapsed="false"/>
    <row r="744" customFormat="false" ht="12.75" hidden="false" customHeight="true" outlineLevel="0" collapsed="false"/>
    <row r="745" customFormat="false" ht="12.75" hidden="false" customHeight="true" outlineLevel="0" collapsed="false"/>
    <row r="746" customFormat="false" ht="12.75" hidden="false" customHeight="true" outlineLevel="0" collapsed="false"/>
    <row r="747" customFormat="false" ht="12.75" hidden="false" customHeight="true" outlineLevel="0" collapsed="false"/>
    <row r="748" customFormat="false" ht="12.75" hidden="false" customHeight="true" outlineLevel="0" collapsed="false"/>
    <row r="749" customFormat="false" ht="12.75" hidden="false" customHeight="true" outlineLevel="0" collapsed="false"/>
    <row r="750" customFormat="false" ht="12.75" hidden="false" customHeight="true" outlineLevel="0" collapsed="false"/>
    <row r="751" customFormat="false" ht="12.75" hidden="false" customHeight="true" outlineLevel="0" collapsed="false"/>
    <row r="752" customFormat="false" ht="12.75" hidden="false" customHeight="true" outlineLevel="0" collapsed="false"/>
    <row r="753" customFormat="false" ht="12.75" hidden="false" customHeight="true" outlineLevel="0" collapsed="false"/>
    <row r="754" customFormat="false" ht="12.75" hidden="false" customHeight="true" outlineLevel="0" collapsed="false"/>
    <row r="755" customFormat="false" ht="12.75" hidden="false" customHeight="true" outlineLevel="0" collapsed="false"/>
    <row r="756" customFormat="false" ht="12.75" hidden="false" customHeight="true" outlineLevel="0" collapsed="false"/>
    <row r="757" customFormat="false" ht="12.75" hidden="false" customHeight="true" outlineLevel="0" collapsed="false"/>
    <row r="758" customFormat="false" ht="12.75" hidden="false" customHeight="true" outlineLevel="0" collapsed="false"/>
    <row r="759" customFormat="false" ht="12.75" hidden="false" customHeight="true" outlineLevel="0" collapsed="false"/>
    <row r="760" customFormat="false" ht="12.75" hidden="false" customHeight="true" outlineLevel="0" collapsed="false"/>
    <row r="761" customFormat="false" ht="12.75" hidden="false" customHeight="true" outlineLevel="0" collapsed="false"/>
    <row r="762" customFormat="false" ht="12.75" hidden="false" customHeight="true" outlineLevel="0" collapsed="false"/>
    <row r="763" customFormat="false" ht="12.75" hidden="false" customHeight="true" outlineLevel="0" collapsed="false"/>
    <row r="764" customFormat="false" ht="12.75" hidden="false" customHeight="true" outlineLevel="0" collapsed="false"/>
    <row r="765" customFormat="false" ht="12.75" hidden="false" customHeight="true" outlineLevel="0" collapsed="false"/>
    <row r="766" customFormat="false" ht="12.75" hidden="false" customHeight="true" outlineLevel="0" collapsed="false"/>
    <row r="767" customFormat="false" ht="12.75" hidden="false" customHeight="true" outlineLevel="0" collapsed="false"/>
    <row r="768" customFormat="false" ht="12.75" hidden="false" customHeight="true" outlineLevel="0" collapsed="false"/>
    <row r="769" customFormat="false" ht="12.75" hidden="false" customHeight="true" outlineLevel="0" collapsed="false"/>
    <row r="770" customFormat="false" ht="12.75" hidden="false" customHeight="true" outlineLevel="0" collapsed="false"/>
    <row r="771" customFormat="false" ht="12.75" hidden="false" customHeight="true" outlineLevel="0" collapsed="false"/>
    <row r="772" customFormat="false" ht="12.75" hidden="false" customHeight="true" outlineLevel="0" collapsed="false"/>
    <row r="773" customFormat="false" ht="12.75" hidden="false" customHeight="true" outlineLevel="0" collapsed="false"/>
    <row r="774" customFormat="false" ht="12.75" hidden="false" customHeight="true" outlineLevel="0" collapsed="false"/>
    <row r="775" customFormat="false" ht="12.75" hidden="false" customHeight="true" outlineLevel="0" collapsed="false"/>
    <row r="776" customFormat="false" ht="12.75" hidden="false" customHeight="true" outlineLevel="0" collapsed="false"/>
    <row r="777" customFormat="false" ht="12.75" hidden="false" customHeight="true" outlineLevel="0" collapsed="false"/>
    <row r="778" customFormat="false" ht="12.75" hidden="false" customHeight="true" outlineLevel="0" collapsed="false"/>
    <row r="779" customFormat="false" ht="12.75" hidden="false" customHeight="true" outlineLevel="0" collapsed="false"/>
    <row r="780" customFormat="false" ht="12.75" hidden="false" customHeight="true" outlineLevel="0" collapsed="false"/>
    <row r="781" customFormat="false" ht="12.75" hidden="false" customHeight="true" outlineLevel="0" collapsed="false"/>
    <row r="782" customFormat="false" ht="12.75" hidden="false" customHeight="true" outlineLevel="0" collapsed="false"/>
    <row r="783" customFormat="false" ht="12.75" hidden="false" customHeight="true" outlineLevel="0" collapsed="false"/>
    <row r="784" customFormat="false" ht="12.75" hidden="false" customHeight="true" outlineLevel="0" collapsed="false"/>
    <row r="785" customFormat="false" ht="12.75" hidden="false" customHeight="true" outlineLevel="0" collapsed="false"/>
    <row r="786" customFormat="false" ht="12.75" hidden="false" customHeight="true" outlineLevel="0" collapsed="false"/>
    <row r="787" customFormat="false" ht="12.75" hidden="false" customHeight="true" outlineLevel="0" collapsed="false"/>
    <row r="788" customFormat="false" ht="12.75" hidden="false" customHeight="true" outlineLevel="0" collapsed="false"/>
    <row r="789" customFormat="false" ht="12.75" hidden="false" customHeight="true" outlineLevel="0" collapsed="false"/>
    <row r="790" customFormat="false" ht="12.75" hidden="false" customHeight="true" outlineLevel="0" collapsed="false"/>
    <row r="791" customFormat="false" ht="12.75" hidden="false" customHeight="true" outlineLevel="0" collapsed="false"/>
    <row r="792" customFormat="false" ht="12.75" hidden="false" customHeight="true" outlineLevel="0" collapsed="false"/>
    <row r="793" customFormat="false" ht="12.75" hidden="false" customHeight="true" outlineLevel="0" collapsed="false"/>
    <row r="794" customFormat="false" ht="12.75" hidden="false" customHeight="true" outlineLevel="0" collapsed="false"/>
    <row r="795" customFormat="false" ht="12.75" hidden="false" customHeight="true" outlineLevel="0" collapsed="false"/>
    <row r="796" customFormat="false" ht="12.75" hidden="false" customHeight="true" outlineLevel="0" collapsed="false"/>
    <row r="797" customFormat="false" ht="12.75" hidden="false" customHeight="true" outlineLevel="0" collapsed="false"/>
    <row r="798" customFormat="false" ht="12.75" hidden="false" customHeight="true" outlineLevel="0" collapsed="false"/>
    <row r="799" customFormat="false" ht="12.75" hidden="false" customHeight="true" outlineLevel="0" collapsed="false"/>
    <row r="800" customFormat="false" ht="12.75" hidden="false" customHeight="true" outlineLevel="0" collapsed="false"/>
    <row r="801" customFormat="false" ht="12.75" hidden="false" customHeight="true" outlineLevel="0" collapsed="false"/>
    <row r="802" customFormat="false" ht="12.75" hidden="false" customHeight="true" outlineLevel="0" collapsed="false"/>
    <row r="803" customFormat="false" ht="12.75" hidden="false" customHeight="true" outlineLevel="0" collapsed="false"/>
    <row r="804" customFormat="false" ht="12.75" hidden="false" customHeight="true" outlineLevel="0" collapsed="false"/>
    <row r="805" customFormat="false" ht="12.75" hidden="false" customHeight="true" outlineLevel="0" collapsed="false"/>
    <row r="806" customFormat="false" ht="12.75" hidden="false" customHeight="true" outlineLevel="0" collapsed="false"/>
    <row r="807" customFormat="false" ht="12.75" hidden="false" customHeight="true" outlineLevel="0" collapsed="false"/>
    <row r="808" customFormat="false" ht="12.75" hidden="false" customHeight="true" outlineLevel="0" collapsed="false"/>
    <row r="809" customFormat="false" ht="12.75" hidden="false" customHeight="true" outlineLevel="0" collapsed="false"/>
    <row r="810" customFormat="false" ht="12.75" hidden="false" customHeight="true" outlineLevel="0" collapsed="false"/>
    <row r="811" customFormat="false" ht="12.75" hidden="false" customHeight="true" outlineLevel="0" collapsed="false"/>
    <row r="812" customFormat="false" ht="12.75" hidden="false" customHeight="true" outlineLevel="0" collapsed="false"/>
    <row r="813" customFormat="false" ht="12.75" hidden="false" customHeight="true" outlineLevel="0" collapsed="false"/>
    <row r="814" customFormat="false" ht="12.75" hidden="false" customHeight="true" outlineLevel="0" collapsed="false"/>
    <row r="815" customFormat="false" ht="12.75" hidden="false" customHeight="true" outlineLevel="0" collapsed="false"/>
    <row r="816" customFormat="false" ht="12.75" hidden="false" customHeight="true" outlineLevel="0" collapsed="false"/>
    <row r="817" customFormat="false" ht="12.75" hidden="false" customHeight="true" outlineLevel="0" collapsed="false"/>
    <row r="818" customFormat="false" ht="12.75" hidden="false" customHeight="true" outlineLevel="0" collapsed="false"/>
    <row r="819" customFormat="false" ht="12.75" hidden="false" customHeight="true" outlineLevel="0" collapsed="false"/>
    <row r="820" customFormat="false" ht="12.75" hidden="false" customHeight="true" outlineLevel="0" collapsed="false"/>
    <row r="821" customFormat="false" ht="12.75" hidden="false" customHeight="true" outlineLevel="0" collapsed="false"/>
    <row r="822" customFormat="false" ht="12.75" hidden="false" customHeight="true" outlineLevel="0" collapsed="false"/>
    <row r="823" customFormat="false" ht="12.75" hidden="false" customHeight="true" outlineLevel="0" collapsed="false"/>
    <row r="824" customFormat="false" ht="12.75" hidden="false" customHeight="true" outlineLevel="0" collapsed="false"/>
    <row r="825" customFormat="false" ht="12.75" hidden="false" customHeight="true" outlineLevel="0" collapsed="false"/>
    <row r="826" customFormat="false" ht="12.75" hidden="false" customHeight="true" outlineLevel="0" collapsed="false"/>
    <row r="827" customFormat="false" ht="12.75" hidden="false" customHeight="true" outlineLevel="0" collapsed="false"/>
    <row r="828" customFormat="false" ht="12.75" hidden="false" customHeight="true" outlineLevel="0" collapsed="false"/>
    <row r="829" customFormat="false" ht="12.75" hidden="false" customHeight="true" outlineLevel="0" collapsed="false"/>
    <row r="830" customFormat="false" ht="12.75" hidden="false" customHeight="true" outlineLevel="0" collapsed="false"/>
    <row r="831" customFormat="false" ht="12.75" hidden="false" customHeight="true" outlineLevel="0" collapsed="false"/>
    <row r="832" customFormat="false" ht="12.75" hidden="false" customHeight="true" outlineLevel="0" collapsed="false"/>
    <row r="833" customFormat="false" ht="12.75" hidden="false" customHeight="true" outlineLevel="0" collapsed="false"/>
    <row r="834" customFormat="false" ht="12.75" hidden="false" customHeight="true" outlineLevel="0" collapsed="false"/>
    <row r="835" customFormat="false" ht="12.75" hidden="false" customHeight="true" outlineLevel="0" collapsed="false"/>
    <row r="836" customFormat="false" ht="12.75" hidden="false" customHeight="true" outlineLevel="0" collapsed="false"/>
    <row r="837" customFormat="false" ht="12.75" hidden="false" customHeight="true" outlineLevel="0" collapsed="false"/>
    <row r="838" customFormat="false" ht="12.75" hidden="false" customHeight="true" outlineLevel="0" collapsed="false"/>
    <row r="839" customFormat="false" ht="12.75" hidden="false" customHeight="true" outlineLevel="0" collapsed="false"/>
    <row r="840" customFormat="false" ht="12.75" hidden="false" customHeight="true" outlineLevel="0" collapsed="false"/>
    <row r="841" customFormat="false" ht="12.75" hidden="false" customHeight="true" outlineLevel="0" collapsed="false"/>
    <row r="842" customFormat="false" ht="12.75" hidden="false" customHeight="true" outlineLevel="0" collapsed="false"/>
    <row r="843" customFormat="false" ht="12.75" hidden="false" customHeight="true" outlineLevel="0" collapsed="false"/>
    <row r="844" customFormat="false" ht="12.75" hidden="false" customHeight="true" outlineLevel="0" collapsed="false"/>
    <row r="845" customFormat="false" ht="12.75" hidden="false" customHeight="true" outlineLevel="0" collapsed="false"/>
    <row r="846" customFormat="false" ht="12.75" hidden="false" customHeight="true" outlineLevel="0" collapsed="false"/>
    <row r="847" customFormat="false" ht="12.75" hidden="false" customHeight="true" outlineLevel="0" collapsed="false"/>
    <row r="848" customFormat="false" ht="12.75" hidden="false" customHeight="true" outlineLevel="0" collapsed="false"/>
    <row r="849" customFormat="false" ht="12.75" hidden="false" customHeight="true" outlineLevel="0" collapsed="false"/>
    <row r="850" customFormat="false" ht="12.75" hidden="false" customHeight="true" outlineLevel="0" collapsed="false"/>
    <row r="851" customFormat="false" ht="12.75" hidden="false" customHeight="true" outlineLevel="0" collapsed="false"/>
    <row r="852" customFormat="false" ht="12.75" hidden="false" customHeight="true" outlineLevel="0" collapsed="false"/>
    <row r="853" customFormat="false" ht="12.75" hidden="false" customHeight="true" outlineLevel="0" collapsed="false"/>
    <row r="854" customFormat="false" ht="12.75" hidden="false" customHeight="true" outlineLevel="0" collapsed="false"/>
    <row r="855" customFormat="false" ht="12.75" hidden="false" customHeight="true" outlineLevel="0" collapsed="false"/>
    <row r="856" customFormat="false" ht="12.75" hidden="false" customHeight="true" outlineLevel="0" collapsed="false"/>
    <row r="857" customFormat="false" ht="12.75" hidden="false" customHeight="true" outlineLevel="0" collapsed="false"/>
    <row r="858" customFormat="false" ht="12.75" hidden="false" customHeight="true" outlineLevel="0" collapsed="false"/>
    <row r="859" customFormat="false" ht="12.75" hidden="false" customHeight="true" outlineLevel="0" collapsed="false"/>
    <row r="860" customFormat="false" ht="12.75" hidden="false" customHeight="true" outlineLevel="0" collapsed="false"/>
    <row r="861" customFormat="false" ht="12.75" hidden="false" customHeight="true" outlineLevel="0" collapsed="false"/>
    <row r="862" customFormat="false" ht="12.75" hidden="false" customHeight="true" outlineLevel="0" collapsed="false"/>
    <row r="863" customFormat="false" ht="12.75" hidden="false" customHeight="true" outlineLevel="0" collapsed="false"/>
    <row r="864" customFormat="false" ht="12.75" hidden="false" customHeight="true" outlineLevel="0" collapsed="false"/>
    <row r="865" customFormat="false" ht="12.75" hidden="false" customHeight="true" outlineLevel="0" collapsed="false"/>
    <row r="866" customFormat="false" ht="12.75" hidden="false" customHeight="true" outlineLevel="0" collapsed="false"/>
    <row r="867" customFormat="false" ht="12.75" hidden="false" customHeight="true" outlineLevel="0" collapsed="false"/>
    <row r="868" customFormat="false" ht="12.75" hidden="false" customHeight="true" outlineLevel="0" collapsed="false"/>
    <row r="869" customFormat="false" ht="12.75" hidden="false" customHeight="true" outlineLevel="0" collapsed="false"/>
    <row r="870" customFormat="false" ht="12.75" hidden="false" customHeight="true" outlineLevel="0" collapsed="false"/>
    <row r="871" customFormat="false" ht="12.75" hidden="false" customHeight="true" outlineLevel="0" collapsed="false"/>
    <row r="872" customFormat="false" ht="12.75" hidden="false" customHeight="true" outlineLevel="0" collapsed="false"/>
    <row r="873" customFormat="false" ht="12.75" hidden="false" customHeight="true" outlineLevel="0" collapsed="false"/>
    <row r="874" customFormat="false" ht="12.75" hidden="false" customHeight="true" outlineLevel="0" collapsed="false"/>
    <row r="875" customFormat="false" ht="12.75" hidden="false" customHeight="true" outlineLevel="0" collapsed="false"/>
    <row r="876" customFormat="false" ht="12.75" hidden="false" customHeight="true" outlineLevel="0" collapsed="false"/>
    <row r="877" customFormat="false" ht="12.75" hidden="false" customHeight="true" outlineLevel="0" collapsed="false"/>
    <row r="878" customFormat="false" ht="12.75" hidden="false" customHeight="true" outlineLevel="0" collapsed="false"/>
    <row r="879" customFormat="false" ht="12.75" hidden="false" customHeight="true" outlineLevel="0" collapsed="false"/>
    <row r="880" customFormat="false" ht="12.75" hidden="false" customHeight="true" outlineLevel="0" collapsed="false"/>
    <row r="881" customFormat="false" ht="12.75" hidden="false" customHeight="true" outlineLevel="0" collapsed="false"/>
    <row r="882" customFormat="false" ht="12.75" hidden="false" customHeight="true" outlineLevel="0" collapsed="false"/>
    <row r="883" customFormat="false" ht="12.75" hidden="false" customHeight="true" outlineLevel="0" collapsed="false"/>
    <row r="884" customFormat="false" ht="12.75" hidden="false" customHeight="true" outlineLevel="0" collapsed="false"/>
    <row r="885" customFormat="false" ht="12.75" hidden="false" customHeight="true" outlineLevel="0" collapsed="false"/>
    <row r="886" customFormat="false" ht="12.75" hidden="false" customHeight="true" outlineLevel="0" collapsed="false"/>
    <row r="887" customFormat="false" ht="12.75" hidden="false" customHeight="true" outlineLevel="0" collapsed="false"/>
    <row r="888" customFormat="false" ht="12.75" hidden="false" customHeight="true" outlineLevel="0" collapsed="false"/>
    <row r="889" customFormat="false" ht="12.75" hidden="false" customHeight="true" outlineLevel="0" collapsed="false"/>
    <row r="890" customFormat="false" ht="12.75" hidden="false" customHeight="true" outlineLevel="0" collapsed="false"/>
    <row r="891" customFormat="false" ht="12.75" hidden="false" customHeight="true" outlineLevel="0" collapsed="false"/>
    <row r="892" customFormat="false" ht="12.75" hidden="false" customHeight="true" outlineLevel="0" collapsed="false"/>
    <row r="893" customFormat="false" ht="12.75" hidden="false" customHeight="true" outlineLevel="0" collapsed="false"/>
    <row r="894" customFormat="false" ht="12.75" hidden="false" customHeight="true" outlineLevel="0" collapsed="false"/>
    <row r="895" customFormat="false" ht="12.75" hidden="false" customHeight="true" outlineLevel="0" collapsed="false"/>
    <row r="896" customFormat="false" ht="12.75" hidden="false" customHeight="true" outlineLevel="0" collapsed="false"/>
    <row r="897" customFormat="false" ht="12.75" hidden="false" customHeight="true" outlineLevel="0" collapsed="false"/>
    <row r="898" customFormat="false" ht="12.75" hidden="false" customHeight="true" outlineLevel="0" collapsed="false"/>
    <row r="899" customFormat="false" ht="12.75" hidden="false" customHeight="true" outlineLevel="0" collapsed="false"/>
    <row r="900" customFormat="false" ht="12.75" hidden="false" customHeight="true" outlineLevel="0" collapsed="false"/>
    <row r="901" customFormat="false" ht="12.75" hidden="false" customHeight="true" outlineLevel="0" collapsed="false"/>
    <row r="902" customFormat="false" ht="12.75" hidden="false" customHeight="true" outlineLevel="0" collapsed="false"/>
    <row r="903" customFormat="false" ht="12.75" hidden="false" customHeight="true" outlineLevel="0" collapsed="false"/>
    <row r="904" customFormat="false" ht="12.75" hidden="false" customHeight="true" outlineLevel="0" collapsed="false"/>
    <row r="905" customFormat="false" ht="12.75" hidden="false" customHeight="true" outlineLevel="0" collapsed="false"/>
    <row r="906" customFormat="false" ht="12.75" hidden="false" customHeight="true" outlineLevel="0" collapsed="false"/>
    <row r="907" customFormat="false" ht="12.75" hidden="false" customHeight="true" outlineLevel="0" collapsed="false"/>
    <row r="908" customFormat="false" ht="12.75" hidden="false" customHeight="true" outlineLevel="0" collapsed="false"/>
    <row r="909" customFormat="false" ht="12.75" hidden="false" customHeight="true" outlineLevel="0" collapsed="false"/>
    <row r="910" customFormat="false" ht="12.75" hidden="false" customHeight="true" outlineLevel="0" collapsed="false"/>
    <row r="911" customFormat="false" ht="12.75" hidden="false" customHeight="true" outlineLevel="0" collapsed="false"/>
    <row r="912" customFormat="false" ht="12.75" hidden="false" customHeight="true" outlineLevel="0" collapsed="false"/>
    <row r="913" customFormat="false" ht="12.75" hidden="false" customHeight="true" outlineLevel="0" collapsed="false"/>
    <row r="914" customFormat="false" ht="12.75" hidden="false" customHeight="true" outlineLevel="0" collapsed="false"/>
    <row r="915" customFormat="false" ht="12.75" hidden="false" customHeight="true" outlineLevel="0" collapsed="false"/>
    <row r="916" customFormat="false" ht="12.75" hidden="false" customHeight="true" outlineLevel="0" collapsed="false"/>
    <row r="917" customFormat="false" ht="12.75" hidden="false" customHeight="true" outlineLevel="0" collapsed="false"/>
    <row r="918" customFormat="false" ht="12.75" hidden="false" customHeight="true" outlineLevel="0" collapsed="false"/>
    <row r="919" customFormat="false" ht="12.75" hidden="false" customHeight="true" outlineLevel="0" collapsed="false"/>
    <row r="920" customFormat="false" ht="12.75" hidden="false" customHeight="true" outlineLevel="0" collapsed="false"/>
    <row r="921" customFormat="false" ht="12.75" hidden="false" customHeight="true" outlineLevel="0" collapsed="false"/>
    <row r="922" customFormat="false" ht="12.75" hidden="false" customHeight="true" outlineLevel="0" collapsed="false"/>
    <row r="923" customFormat="false" ht="12.75" hidden="false" customHeight="true" outlineLevel="0" collapsed="false"/>
    <row r="924" customFormat="false" ht="12.75" hidden="false" customHeight="true" outlineLevel="0" collapsed="false"/>
    <row r="925" customFormat="false" ht="12.75" hidden="false" customHeight="true" outlineLevel="0" collapsed="false"/>
    <row r="926" customFormat="false" ht="12.75" hidden="false" customHeight="true" outlineLevel="0" collapsed="false"/>
    <row r="927" customFormat="false" ht="12.75" hidden="false" customHeight="true" outlineLevel="0" collapsed="false"/>
    <row r="928" customFormat="false" ht="12.75" hidden="false" customHeight="true" outlineLevel="0" collapsed="false"/>
    <row r="929" customFormat="false" ht="12.75" hidden="false" customHeight="true" outlineLevel="0" collapsed="false"/>
    <row r="930" customFormat="false" ht="12.75" hidden="false" customHeight="true" outlineLevel="0" collapsed="false"/>
    <row r="931" customFormat="false" ht="12.75" hidden="false" customHeight="true" outlineLevel="0" collapsed="false"/>
    <row r="932" customFormat="false" ht="12.75" hidden="false" customHeight="true" outlineLevel="0" collapsed="false"/>
    <row r="933" customFormat="false" ht="12.75" hidden="false" customHeight="true" outlineLevel="0" collapsed="false"/>
    <row r="934" customFormat="false" ht="12.75" hidden="false" customHeight="true" outlineLevel="0" collapsed="false"/>
    <row r="935" customFormat="false" ht="12.75" hidden="false" customHeight="true" outlineLevel="0" collapsed="false"/>
    <row r="936" customFormat="false" ht="12.75" hidden="false" customHeight="true" outlineLevel="0" collapsed="false"/>
    <row r="937" customFormat="false" ht="12.75" hidden="false" customHeight="true" outlineLevel="0" collapsed="false"/>
    <row r="938" customFormat="false" ht="12.75" hidden="false" customHeight="true" outlineLevel="0" collapsed="false"/>
    <row r="939" customFormat="false" ht="12.75" hidden="false" customHeight="true" outlineLevel="0" collapsed="false"/>
    <row r="940" customFormat="false" ht="12.75" hidden="false" customHeight="true" outlineLevel="0" collapsed="false"/>
    <row r="941" customFormat="false" ht="12.75" hidden="false" customHeight="true" outlineLevel="0" collapsed="false"/>
    <row r="942" customFormat="false" ht="12.75" hidden="false" customHeight="true" outlineLevel="0" collapsed="false"/>
    <row r="943" customFormat="false" ht="12.75" hidden="false" customHeight="true" outlineLevel="0" collapsed="false"/>
    <row r="944" customFormat="false" ht="12.75" hidden="false" customHeight="true" outlineLevel="0" collapsed="false"/>
    <row r="945" customFormat="false" ht="12.75" hidden="false" customHeight="true" outlineLevel="0" collapsed="false"/>
    <row r="946" customFormat="false" ht="12.75" hidden="false" customHeight="true" outlineLevel="0" collapsed="false"/>
    <row r="947" customFormat="false" ht="12.75" hidden="false" customHeight="true" outlineLevel="0" collapsed="false"/>
    <row r="948" customFormat="false" ht="12.75" hidden="false" customHeight="true" outlineLevel="0" collapsed="false"/>
    <row r="949" customFormat="false" ht="12.75" hidden="false" customHeight="true" outlineLevel="0" collapsed="false"/>
    <row r="950" customFormat="false" ht="12.75" hidden="false" customHeight="true" outlineLevel="0" collapsed="false"/>
    <row r="951" customFormat="false" ht="12.75" hidden="false" customHeight="true" outlineLevel="0" collapsed="false"/>
    <row r="952" customFormat="false" ht="12.75" hidden="false" customHeight="true" outlineLevel="0" collapsed="false"/>
    <row r="953" customFormat="false" ht="12.75" hidden="false" customHeight="true" outlineLevel="0" collapsed="false"/>
    <row r="954" customFormat="false" ht="12.75" hidden="false" customHeight="true" outlineLevel="0" collapsed="false"/>
    <row r="955" customFormat="false" ht="12.75" hidden="false" customHeight="true" outlineLevel="0" collapsed="false"/>
    <row r="956" customFormat="false" ht="12.75" hidden="false" customHeight="true" outlineLevel="0" collapsed="false"/>
    <row r="957" customFormat="false" ht="12.75" hidden="false" customHeight="true" outlineLevel="0" collapsed="false"/>
    <row r="958" customFormat="false" ht="12.75" hidden="false" customHeight="true" outlineLevel="0" collapsed="false"/>
    <row r="959" customFormat="false" ht="12.75" hidden="false" customHeight="true" outlineLevel="0" collapsed="false"/>
    <row r="960" customFormat="false" ht="12.75" hidden="false" customHeight="true" outlineLevel="0" collapsed="false"/>
    <row r="961" customFormat="false" ht="12.75" hidden="false" customHeight="true" outlineLevel="0" collapsed="false"/>
    <row r="962" customFormat="false" ht="12.75" hidden="false" customHeight="true" outlineLevel="0" collapsed="false"/>
    <row r="963" customFormat="false" ht="12.75" hidden="false" customHeight="true" outlineLevel="0" collapsed="false"/>
    <row r="964" customFormat="false" ht="12.75" hidden="false" customHeight="true" outlineLevel="0" collapsed="false"/>
    <row r="965" customFormat="false" ht="12.75" hidden="false" customHeight="true" outlineLevel="0" collapsed="false"/>
    <row r="966" customFormat="false" ht="12.75" hidden="false" customHeight="true" outlineLevel="0" collapsed="false"/>
    <row r="967" customFormat="false" ht="12.75" hidden="false" customHeight="true" outlineLevel="0" collapsed="false"/>
    <row r="968" customFormat="false" ht="12.75" hidden="false" customHeight="true" outlineLevel="0" collapsed="false"/>
    <row r="969" customFormat="false" ht="12.75" hidden="false" customHeight="true" outlineLevel="0" collapsed="false"/>
    <row r="970" customFormat="false" ht="12.75" hidden="false" customHeight="true" outlineLevel="0" collapsed="false"/>
    <row r="971" customFormat="false" ht="12.75" hidden="false" customHeight="true" outlineLevel="0" collapsed="false"/>
    <row r="972" customFormat="false" ht="12.75" hidden="false" customHeight="true" outlineLevel="0" collapsed="false"/>
    <row r="973" customFormat="false" ht="12.75" hidden="false" customHeight="true" outlineLevel="0" collapsed="false"/>
    <row r="974" customFormat="false" ht="12.75" hidden="false" customHeight="true" outlineLevel="0" collapsed="false"/>
    <row r="975" customFormat="false" ht="12.75" hidden="false" customHeight="true" outlineLevel="0" collapsed="false"/>
    <row r="976" customFormat="false" ht="12.75" hidden="false" customHeight="true" outlineLevel="0" collapsed="false"/>
    <row r="977" customFormat="false" ht="12.75" hidden="false" customHeight="true" outlineLevel="0" collapsed="false"/>
    <row r="978" customFormat="false" ht="12.75" hidden="false" customHeight="true" outlineLevel="0" collapsed="false"/>
    <row r="979" customFormat="false" ht="12.75" hidden="false" customHeight="true" outlineLevel="0" collapsed="false"/>
    <row r="980" customFormat="false" ht="12.75" hidden="false" customHeight="true" outlineLevel="0" collapsed="false"/>
    <row r="981" customFormat="false" ht="12.75" hidden="false" customHeight="true" outlineLevel="0" collapsed="false"/>
    <row r="982" customFormat="false" ht="12.75" hidden="false" customHeight="true" outlineLevel="0" collapsed="false"/>
    <row r="983" customFormat="false" ht="12.75" hidden="false" customHeight="true" outlineLevel="0" collapsed="false"/>
    <row r="984" customFormat="false" ht="12.75" hidden="false" customHeight="true" outlineLevel="0" collapsed="false"/>
    <row r="985" customFormat="false" ht="12.75" hidden="false" customHeight="true" outlineLevel="0" collapsed="false"/>
    <row r="986" customFormat="false" ht="12.75" hidden="false" customHeight="true" outlineLevel="0" collapsed="false"/>
    <row r="987" customFormat="false" ht="12.75" hidden="false" customHeight="true" outlineLevel="0" collapsed="false"/>
    <row r="988" customFormat="false" ht="12.75" hidden="false" customHeight="true" outlineLevel="0" collapsed="false"/>
    <row r="989" customFormat="false" ht="12.75" hidden="false" customHeight="true" outlineLevel="0" collapsed="false"/>
    <row r="990" customFormat="false" ht="12.75" hidden="false" customHeight="true" outlineLevel="0" collapsed="false"/>
    <row r="991" customFormat="false" ht="12.75" hidden="false" customHeight="true" outlineLevel="0" collapsed="false"/>
    <row r="992" customFormat="false" ht="12.75" hidden="false" customHeight="true" outlineLevel="0" collapsed="false"/>
    <row r="993" customFormat="false" ht="12.75" hidden="false" customHeight="true" outlineLevel="0" collapsed="false"/>
    <row r="994" customFormat="false" ht="12.75" hidden="false" customHeight="true" outlineLevel="0" collapsed="false"/>
    <row r="995" customFormat="false" ht="12.75" hidden="false" customHeight="true" outlineLevel="0" collapsed="false"/>
    <row r="996" customFormat="false" ht="12.75" hidden="false" customHeight="true" outlineLevel="0" collapsed="false"/>
    <row r="997" customFormat="false" ht="12.75" hidden="false" customHeight="true" outlineLevel="0" collapsed="false"/>
    <row r="998" customFormat="false" ht="12.75" hidden="false" customHeight="true" outlineLevel="0" collapsed="false"/>
    <row r="999" customFormat="false" ht="12.75" hidden="false" customHeight="true" outlineLevel="0" collapsed="false"/>
    <row r="1000" customFormat="false" ht="12.75" hidden="false" customHeight="true" outlineLevel="0" collapsed="false"/>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1778</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AICI202301-1-1-1</v>
      </c>
      <c r="B4" s="19" t="n">
        <f aca="false">IFERROR(__xludf.dummyfunction("""COMPUTED_VALUE"""),45120)</f>
        <v>45120</v>
      </c>
      <c r="C4" s="0" t="n">
        <f aca="false">IFERROR(__xludf.dummyfunction("""COMPUTED_VALUE"""),1)</f>
        <v>1</v>
      </c>
      <c r="D4" s="0" t="str">
        <f aca="false">IFERROR(__xludf.dummyfunction("""COMPUTED_VALUE"""),"AICI202301-1-1| En el Plan de capacitaciones a supervisores para la vigencia 2023 se tiene establecido recordar a los contratistas el proceso  de registro ... (23/05/2023 - 30/06/2023)")</f>
        <v>AICI202301-1-1| En el Plan de capacitaciones a supervisores para la vigencia 2023 se tiene establecido recordar a los contratistas el proceso  de registro ... (23/05/2023 - 30/06/2023)</v>
      </c>
      <c r="E4" s="0" t="str">
        <f aca="false">IFERROR(__xludf.dummyfunction("""COMPUTED_VALUE"""),"Se planearon capacitaciones presenciales trimestralmente, programadas para los meses abril, julio y octubre del 2023.")</f>
        <v>Se planearon capacitaciones presenciales trimestralmente, programadas para los meses abril, julio y octubre del 2023.</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AICI202301-2-1-1</v>
      </c>
      <c r="B5" s="19" t="n">
        <f aca="false">IFERROR(__xludf.dummyfunction("""COMPUTED_VALUE"""),45120)</f>
        <v>45120</v>
      </c>
      <c r="C5" s="0" t="n">
        <f aca="false">IFERROR(__xludf.dummyfunction("""COMPUTED_VALUE"""),1)</f>
        <v>1</v>
      </c>
      <c r="D5" s="0" t="str">
        <f aca="false">IFERROR(__xludf.dummyfunction("""COMPUTED_VALUE"""),"AICI202301-2-1| Realizar el proceso de contratación de bienes necesarios para dar cumplimiento al manejo del archivo fisico de gestión documental. (23/05/2023 - 30/06/2023)")</f>
        <v>AICI202301-2-1| Realizar el proceso de contratación de bienes necesarios para dar cumplimiento al manejo del archivo fisico de gestión documental. (23/05/2023 - 30/06/2023)</v>
      </c>
      <c r="E5" s="0" t="str">
        <f aca="false">IFERROR(__xludf.dummyfunction("""COMPUTED_VALUE"""),"El día 10 de marzo se firma el contrato de Suministro de insumos de oficina, papeleria y elementos didácticos requeridos en la prestación de los servicios en la Subred Integrada de Servicios de Salud Norte E.S.E.")</f>
        <v>El día 10 de marzo se firma el contrato de Suministro de insumos de oficina, papeleria y elementos didácticos requeridos en la prestación de los servicios en la Subred Integrada de Servicios de Salud Norte E.S.E.</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
      </c>
    </row>
    <row r="7" customFormat="false" ht="14.25" hidden="false" customHeight="false" outlineLevel="0" collapsed="false">
      <c r="A7" s="18" t="str">
        <f aca="false">IFERROR(MID(D7,1,FIND("|",D7)-1)&amp;"-"&amp;C7,"")</f>
        <v/>
      </c>
    </row>
    <row r="8" customFormat="false" ht="14.25" hidden="false" customHeight="false" outlineLevel="0" collapsed="false">
      <c r="A8" s="18" t="str">
        <f aca="false">IFERROR(MID(D8,1,FIND("|",D8)-1)&amp;"-"&amp;C8,"")</f>
        <v/>
      </c>
    </row>
    <row r="9" customFormat="false" ht="14.25" hidden="false" customHeight="false" outlineLevel="0" collapsed="false">
      <c r="A9" s="18" t="str">
        <f aca="false">IFERROR(MID(D9,1,FIND("|",D9)-1)&amp;"-"&amp;C9,"")</f>
        <v/>
      </c>
    </row>
    <row r="10" customFormat="false" ht="14.25" hidden="false" customHeight="false" outlineLevel="0" collapsed="false">
      <c r="A10" s="18" t="str">
        <f aca="false">IFERROR(MID(D10,1,FIND("|",D10)-1)&amp;"-"&amp;C10,"")</f>
        <v/>
      </c>
    </row>
    <row r="11" customFormat="false" ht="14.25" hidden="false" customHeight="false" outlineLevel="0" collapsed="false">
      <c r="A11" s="18" t="str">
        <f aca="false">IFERROR(MID(D11,1,FIND("|",D11)-1)&amp;"-"&amp;C11,"")</f>
        <v/>
      </c>
    </row>
    <row r="12" customFormat="false" ht="14.25" hidden="false" customHeight="false" outlineLevel="0" collapsed="false">
      <c r="A12" s="18" t="str">
        <f aca="false">IFERROR(MID(D12,1,FIND("|",D12)-1)&amp;"-"&amp;C12,"")</f>
        <v/>
      </c>
    </row>
    <row r="13" customFormat="false" ht="14.25" hidden="false" customHeight="false" outlineLevel="0" collapsed="false">
      <c r="A13" s="18" t="str">
        <f aca="false">IFERROR(MID(D13,1,FIND("|",D13)-1)&amp;"-"&amp;C13,"")</f>
        <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1786</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
      </c>
    </row>
    <row r="5" customFormat="false" ht="14.25" hidden="false" customHeight="false" outlineLevel="0" collapsed="false">
      <c r="A5" s="18" t="str">
        <f aca="false">IFERROR(MID(D5,1,FIND("|",D5)-1)&amp;"-"&amp;C5,"")</f>
        <v/>
      </c>
    </row>
    <row r="6" customFormat="false" ht="14.25" hidden="false" customHeight="false" outlineLevel="0" collapsed="false">
      <c r="A6" s="18" t="str">
        <f aca="false">IFERROR(MID(D6,1,FIND("|",D6)-1)&amp;"-"&amp;C6,"")</f>
        <v/>
      </c>
    </row>
    <row r="7" customFormat="false" ht="14.25" hidden="false" customHeight="false" outlineLevel="0" collapsed="false">
      <c r="A7" s="18" t="str">
        <f aca="false">IFERROR(MID(D7,1,FIND("|",D7)-1)&amp;"-"&amp;C7,"")</f>
        <v/>
      </c>
    </row>
    <row r="8" customFormat="false" ht="14.25" hidden="false" customHeight="false" outlineLevel="0" collapsed="false">
      <c r="A8" s="18" t="str">
        <f aca="false">IFERROR(MID(D8,1,FIND("|",D8)-1)&amp;"-"&amp;C8,"")</f>
        <v/>
      </c>
    </row>
    <row r="9" customFormat="false" ht="14.25" hidden="false" customHeight="false" outlineLevel="0" collapsed="false">
      <c r="A9" s="18" t="str">
        <f aca="false">IFERROR(MID(D9,1,FIND("|",D9)-1)&amp;"-"&amp;C9,"")</f>
        <v/>
      </c>
    </row>
    <row r="10" customFormat="false" ht="14.25" hidden="false" customHeight="false" outlineLevel="0" collapsed="false">
      <c r="A10" s="18" t="str">
        <f aca="false">IFERROR(MID(D10,1,FIND("|",D10)-1)&amp;"-"&amp;C10,"")</f>
        <v/>
      </c>
    </row>
    <row r="11" customFormat="false" ht="14.25" hidden="false" customHeight="false" outlineLevel="0" collapsed="false">
      <c r="A11" s="18" t="str">
        <f aca="false">IFERROR(MID(D11,1,FIND("|",D11)-1)&amp;"-"&amp;C11,"")</f>
        <v/>
      </c>
    </row>
    <row r="12" customFormat="false" ht="14.25" hidden="false" customHeight="false" outlineLevel="0" collapsed="false">
      <c r="A12" s="18" t="str">
        <f aca="false">IFERROR(MID(D12,1,FIND("|",D12)-1)&amp;"-"&amp;C12,"")</f>
        <v/>
      </c>
    </row>
    <row r="13" customFormat="false" ht="14.25" hidden="false" customHeight="false" outlineLevel="0" collapsed="false">
      <c r="A13" s="18" t="str">
        <f aca="false">IFERROR(MID(D13,1,FIND("|",D13)-1)&amp;"-"&amp;C13,"")</f>
        <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1787</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AICI202214-1-1-1</v>
      </c>
      <c r="B4" s="19" t="n">
        <f aca="false">IFERROR(__xludf.dummyfunction("""COMPUTED_VALUE"""),45119)</f>
        <v>45119</v>
      </c>
      <c r="C4" s="0" t="n">
        <f aca="false">IFERROR(__xludf.dummyfunction("""COMPUTED_VALUE"""),1)</f>
        <v>1</v>
      </c>
      <c r="D4" s="0" t="str">
        <f aca="false">IFERROR(__xludf.dummyfunction("""COMPUTED_VALUE"""),"AICI202214-1-1| Solicitar a la Contaduria General de concepto contable frente al manejo de los recursos de los convenios de la Subred (06/06/2023 - 30/06/2023)")</f>
        <v>AICI202214-1-1| Solicitar a la Contaduria General de concepto contable frente al manejo de los recursos de los convenios de la Subred (06/06/2023 - 30/06/2023)</v>
      </c>
      <c r="E4" s="0" t="str">
        <f aca="false">IFERROR(__xludf.dummyfunction("""COMPUTED_VALUE"""),"Pendiente solicitud a la Contaduría General de concepto contable frente al manejo de los recursos de los convenios de la Subred - responsabilidad de la Dirección Financiera.")</f>
        <v>Pendiente solicitud a la Contaduría General de concepto contable frente al manejo de los recursos de los convenios de la Subred - responsabilidad de la Dirección Financiera.</v>
      </c>
      <c r="F4" s="0" t="str">
        <f aca="false">IFERROR(__xludf.dummyfunction("""COMPUTED_VALUE"""),"Atrasado")</f>
        <v>Atrasado</v>
      </c>
    </row>
    <row r="5" customFormat="false" ht="14.25" hidden="false" customHeight="false" outlineLevel="0" collapsed="false">
      <c r="A5" s="18" t="str">
        <f aca="false">IFERROR(MID(D5,1,FIND("|",D5)-1)&amp;"-"&amp;C5,"")</f>
        <v>AICI202214-2-1-1</v>
      </c>
      <c r="B5" s="19" t="n">
        <f aca="false">IFERROR(__xludf.dummyfunction("""COMPUTED_VALUE"""),45119)</f>
        <v>45119</v>
      </c>
      <c r="C5" s="0" t="n">
        <f aca="false">IFERROR(__xludf.dummyfunction("""COMPUTED_VALUE"""),1)</f>
        <v>1</v>
      </c>
      <c r="D5" s="0" t="str">
        <f aca="false">IFERROR(__xludf.dummyfunction("""COMPUTED_VALUE"""),"AICI202214-2-1| Elaborar el procedimiento de planeación de los recursos que permitan para la ejecución del convenio PSPIC (bienes y servicios, talento humano (01/05/2023 - 23/05/2023)")</f>
        <v>AICI202214-2-1| Elaborar el procedimiento de planeación de los recursos que permitan para la ejecución del convenio PSPIC (bienes y servicios, talento humano (01/05/2023 - 23/05/2023)</v>
      </c>
      <c r="E5" s="0" t="str">
        <f aca="false">IFERROR(__xludf.dummyfunction("""COMPUTED_VALUE"""),"Se realizo procedimiento de la planeación financiera de los recursos el PSPIC CÓDIGO: ES-GC–F-04-05 , el cual se encuentra normalizado en almera.")</f>
        <v>Se realizo procedimiento de la planeación financiera de los recursos el PSPIC CÓDIGO: ES-GC–F-04-05 , el cual se encuentra normalizado en almera.</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AICI202214-3-1-1</v>
      </c>
      <c r="B6" s="19" t="n">
        <f aca="false">IFERROR(__xludf.dummyfunction("""COMPUTED_VALUE"""),45119)</f>
        <v>45119</v>
      </c>
      <c r="C6" s="0" t="n">
        <f aca="false">IFERROR(__xludf.dummyfunction("""COMPUTED_VALUE"""),1)</f>
        <v>1</v>
      </c>
      <c r="D6" s="0" t="str">
        <f aca="false">IFERROR(__xludf.dummyfunction("""COMPUTED_VALUE"""),"AICI202214-3-1| Actualizar los subprocesos y procedimientos de la direccion de gestion de riesgo (01/05/2023 - 20/06/2023)")</f>
        <v>AICI202214-3-1| Actualizar los subprocesos y procedimientos de la direccion de gestion de riesgo (01/05/2023 - 20/06/2023)</v>
      </c>
      <c r="E6" s="0" t="str">
        <f aca="false">IFERROR(__xludf.dummyfunction("""COMPUTED_VALUE"""),"Se realiza actualización de los procesos y procedimientos de la Dirección, se aporta correo de calidad donde se evidencia su actualización y normalización con los siguientes códigos:
Procedimientos:
MI-RS-P-01-02-Vigilancia en salud publica
MI-RS-P-02-02-"&amp;"Vigilancia en salud ambiental
MI-RS-P-03-02-Procedimiento gestión de programas y acciones de interés en salud
MI-RS-P-04-02-Procedimieto entornos cuidadores de vida
MI-RS-P-05-02-Procedimiento gestión intersectorial
MI-RS-P-06-02-Procedimiento rutas integ"&amp;"rales de atención en salud
MI-RS-P-07-01-Procedimiento epidemiologia Intramural
MI-RS-P-08-01-Procedimientos equipos de atención en casa
MI-RS-P-09-01-Proyectos de inversión Local      ")</f>
        <v>Se realiza actualización de los procesos y procedimientos de la Dirección, se aporta correo de calidad donde se evidencia su actualización y normalización con los siguientes códigos:
Procedimientos:
MI-RS-P-01-02-Vigilancia en salud publica
MI-RS-P-02-02-Vigilancia en salud ambiental
MI-RS-P-03-02-Procedimiento gestión de programas y acciones de interés en salud
MI-RS-P-04-02-Procedimieto entornos cuidadores de vida
MI-RS-P-05-02-Procedimiento gestión intersectorial
MI-RS-P-06-02-Procedimiento rutas integrales de atención en salud
MI-RS-P-07-01-Procedimiento epidemiologia Intramural
MI-RS-P-08-01-Procedimientos equipos de atención en casa
MI-RS-P-09-01-Proyectos de inversión Local</v>
      </c>
      <c r="F6" s="0" t="str">
        <f aca="false">IFERROR(__xludf.dummyfunction("""COMPUTED_VALUE"""),"Completo")</f>
        <v>Completo</v>
      </c>
      <c r="G6" s="0" t="str">
        <f aca="false">IFERROR(__xludf.dummyfunction("""COMPUTED_VALUE"""),"Sí")</f>
        <v>Sí</v>
      </c>
    </row>
    <row r="7" customFormat="false" ht="14.25" hidden="false" customHeight="false" outlineLevel="0" collapsed="false">
      <c r="A7" s="18" t="str">
        <f aca="false">IFERROR(MID(D7,1,FIND("|",D7)-1)&amp;"-"&amp;C7,"")</f>
        <v>AICI202214-3-2-1</v>
      </c>
      <c r="B7" s="19" t="n">
        <f aca="false">IFERROR(__xludf.dummyfunction("""COMPUTED_VALUE"""),45119)</f>
        <v>45119</v>
      </c>
      <c r="C7" s="0" t="n">
        <f aca="false">IFERROR(__xludf.dummyfunction("""COMPUTED_VALUE"""),1)</f>
        <v>1</v>
      </c>
      <c r="D7" s="0" t="str">
        <f aca="false">IFERROR(__xludf.dummyfunction("""COMPUTED_VALUE"""),"AICI202214-3-2| Realizar socialización de los subprocesos y procedimientos actualizados (01/06/2023 - 31/07/2023)")</f>
        <v>AICI202214-3-2| Realizar socialización de los subprocesos y procedimientos actualizados (01/06/2023 - 31/07/2023)</v>
      </c>
      <c r="E7" s="0" t="str">
        <f aca="false">IFERROR(__xludf.dummyfunction("""COMPUTED_VALUE"""),"Se aporta soporte de socialización de lo subproceso y procedimientos actualizados de los entornos hogar e institucional y del proceso de vigilancia en salud publica.")</f>
        <v>Se aporta soporte de socialización de lo subproceso y procedimientos actualizados de los entornos hogar e institucional y del proceso de vigilancia en salud publica.</v>
      </c>
      <c r="F7" s="0" t="str">
        <f aca="false">IFERROR(__xludf.dummyfunction("""COMPUTED_VALUE"""),"En desarrollo")</f>
        <v>En desarrollo</v>
      </c>
    </row>
    <row r="8" customFormat="false" ht="14.25" hidden="false" customHeight="false" outlineLevel="0" collapsed="false">
      <c r="A8" s="18" t="str">
        <f aca="false">IFERROR(MID(D8,1,FIND("|",D8)-1)&amp;"-"&amp;C8,"")</f>
        <v>AICI202214-3-3-1</v>
      </c>
      <c r="B8" s="19" t="n">
        <f aca="false">IFERROR(__xludf.dummyfunction("""COMPUTED_VALUE"""),45119)</f>
        <v>45119</v>
      </c>
      <c r="C8" s="0" t="n">
        <f aca="false">IFERROR(__xludf.dummyfunction("""COMPUTED_VALUE"""),1)</f>
        <v>1</v>
      </c>
      <c r="D8" s="0" t="str">
        <f aca="false">IFERROR(__xludf.dummyfunction("""COMPUTED_VALUE"""),"AICI202214-3-3| Medir la apropiación del conocimiento a través de pretest y postest (01/06/2023 - 31/07/2023)")</f>
        <v>AICI202214-3-3| Medir la apropiación del conocimiento a través de pretest y postest (01/06/2023 - 31/07/2023)</v>
      </c>
      <c r="E8" s="0" t="str">
        <f aca="false">IFERROR(__xludf.dummyfunction("""COMPUTED_VALUE"""),"Se aporta soporte de la medición de la apropiación de conocimiento de los subprocesos y procedimientos actualizados de los entornos hogar e institucional y el proceso de vigilancia en salud publica")</f>
        <v>Se aporta soporte de la medición de la apropiación de conocimiento de los subprocesos y procedimientos actualizados de los entornos hogar e institucional y el proceso de vigilancia en salud publica</v>
      </c>
      <c r="F8" s="0" t="str">
        <f aca="false">IFERROR(__xludf.dummyfunction("""COMPUTED_VALUE"""),"En desarrollo")</f>
        <v>En desarrollo</v>
      </c>
    </row>
    <row r="9" customFormat="false" ht="14.25" hidden="false" customHeight="false" outlineLevel="0" collapsed="false">
      <c r="A9" s="18" t="str">
        <f aca="false">IFERROR(MID(D9,1,FIND("|",D9)-1)&amp;"-"&amp;C9,"")</f>
        <v>AICI202214-4-1-1</v>
      </c>
      <c r="B9" s="19" t="n">
        <f aca="false">IFERROR(__xludf.dummyfunction("""COMPUTED_VALUE"""),45119)</f>
        <v>45119</v>
      </c>
      <c r="C9" s="0" t="n">
        <f aca="false">IFERROR(__xludf.dummyfunction("""COMPUTED_VALUE"""),1)</f>
        <v>1</v>
      </c>
      <c r="D9" s="0" t="str">
        <f aca="false">IFERROR(__xludf.dummyfunction("""COMPUTED_VALUE"""),"AICI202214-4-1| Enviar la estructura estandarizada por SDS para el informe final con el fin de disminuir la ocurrencia de errores de redacción y ... (01/03/2023 - 30/03/2023)")</f>
        <v>AICI202214-4-1| Enviar la estructura estandarizada por SDS para el informe final con el fin de disminuir la ocurrencia de errores de redacción y ... (01/03/2023 - 30/03/2023)</v>
      </c>
      <c r="E9" s="0" t="str">
        <f aca="false">IFERROR(__xludf.dummyfunction("""COMPUTED_VALUE"""),"Se envían dos correos electrónicos: uno el 28 de marzo de 2023 donde se remite la estructura del informe final, Convenio GSP - PSPIC No 3998861 de vigencia: 09 de septiembre/22 a 26 de marzo/23; lo anterior con el fin de tenerlo en cuenta en la construcci"&amp;"ón y consolidación del informe que deben radicar, de acuerdo a lo establecido en lineamiento y segundo correo el 29 de abril de 2023 donde se entrega la estructura de informe final a los a los referentes de entornos y procesos. Lo anterior con el fin de d"&amp;"isminuir la ocurrencia de errores de redacción y presentación en los mismos (se envía informe como cierre de convenio)")</f>
        <v>Se envían dos correos electrónicos: uno el 28 de marzo de 2023 donde se remite la estructura del informe final, Convenio GSP - PSPIC No 3998861 de vigencia: 09 de septiembre/22 a 26 de marzo/23; lo anterior con el fin de tenerlo en cuenta en la construcción y consolidación del informe que deben radicar, de acuerdo a lo establecido en lineamiento y segundo correo el 29 de abril de 2023 donde se entrega la estructura de informe final a los a los referentes de entornos y procesos. Lo anterior con el fin de disminuir la ocurrencia de errores de redacción y presentación en los mismos (se envía informe como cierre de convenio)</v>
      </c>
      <c r="F9" s="0" t="str">
        <f aca="false">IFERROR(__xludf.dummyfunction("""COMPUTED_VALUE"""),"Completo")</f>
        <v>Completo</v>
      </c>
      <c r="G9" s="0" t="str">
        <f aca="false">IFERROR(__xludf.dummyfunction("""COMPUTED_VALUE"""),"Sí")</f>
        <v>Sí</v>
      </c>
    </row>
    <row r="10" customFormat="false" ht="14.25" hidden="false" customHeight="false" outlineLevel="0" collapsed="false">
      <c r="A10" s="18" t="str">
        <f aca="false">IFERROR(MID(D10,1,FIND("|",D10)-1)&amp;"-"&amp;C10,"")</f>
        <v>AICI202214-4-2-1</v>
      </c>
      <c r="B10" s="19" t="n">
        <f aca="false">IFERROR(__xludf.dummyfunction("""COMPUTED_VALUE"""),45119)</f>
        <v>45119</v>
      </c>
      <c r="C10" s="0" t="n">
        <f aca="false">IFERROR(__xludf.dummyfunction("""COMPUTED_VALUE"""),1)</f>
        <v>1</v>
      </c>
      <c r="D10" s="0" t="str">
        <f aca="false">IFERROR(__xludf.dummyfunction("""COMPUTED_VALUE"""),"AICI202214-4-2| Socializar las observaciones de SDS del informe final del PSPIC (01/03/2023 - 30/03/2023)")</f>
        <v>AICI202214-4-2| Socializar las observaciones de SDS del informe final del PSPIC (01/03/2023 - 30/03/2023)</v>
      </c>
      <c r="E10" s="0" t="str">
        <f aca="false">IFERROR(__xludf.dummyfunction("""COMPUTED_VALUE"""),"La SDS envió por correo electrónico el 25 de mayo de 2023 matriz consolidada de realimentación del informe final correspondiente al periodo de 09 de septiembre/22 a 26 de marzo/23. con el fin de que la subred realice los ajustes con base en las observacio"&amp;"nes realizadas por los referentes técnicos de los entornos cuidadores y los temas y procesos transversales. 
El mismo día 25 de mayo de 2023 se envió un correo eléctrico por el proceso PSPIC a los diferentes referentes técnicos de los entornos cuidadores "&amp;"y los temas y procesos transversales la matriz consolidada de realimentación del informe final correspondiente al periodo de 09 de septiembre/22 a 26 de marzo/23. con el fin de que se realicen los ajustes con base en las observaciones realizada por la SDS"&amp;".")</f>
        <v>La SDS envió por correo electrónico el 25 de mayo de 2023 matriz consolidada de realimentación del informe final correspondiente al periodo de 09 de septiembre/22 a 26 de marzo/23. con el fin de que la subred realice los ajustes con base en las observaciones realizadas por los referentes técnicos de los entornos cuidadores y los temas y procesos transversales. 
El mismo día 25 de mayo de 2023 se envió un correo eléctrico por el proceso PSPIC a los diferentes referentes técnicos de los entornos cuidadores y los temas y procesos transversales la matriz consolidada de realimentación del informe final correspondiente al periodo de 09 de septiembre/22 a 26 de marzo/23. con el fin de que se realicen los ajustes con base en las observaciones realizada por la SDS.</v>
      </c>
      <c r="F10" s="0" t="str">
        <f aca="false">IFERROR(__xludf.dummyfunction("""COMPUTED_VALUE"""),"Completo")</f>
        <v>Completo</v>
      </c>
      <c r="G10" s="0" t="str">
        <f aca="false">IFERROR(__xludf.dummyfunction("""COMPUTED_VALUE"""),"Sí")</f>
        <v>Sí</v>
      </c>
    </row>
    <row r="11" customFormat="false" ht="14.25" hidden="false" customHeight="false" outlineLevel="0" collapsed="false">
      <c r="A11" s="18" t="str">
        <f aca="false">IFERROR(MID(D11,1,FIND("|",D11)-1)&amp;"-"&amp;C11,"")</f>
        <v>AICI202214-4-3-1</v>
      </c>
      <c r="B11" s="19" t="n">
        <f aca="false">IFERROR(__xludf.dummyfunction("""COMPUTED_VALUE"""),45119)</f>
        <v>45119</v>
      </c>
      <c r="C11" s="0" t="n">
        <f aca="false">IFERROR(__xludf.dummyfunction("""COMPUTED_VALUE"""),1)</f>
        <v>1</v>
      </c>
      <c r="D11" s="0" t="str">
        <f aca="false">IFERROR(__xludf.dummyfunction("""COMPUTED_VALUE"""),"AICI202214-4-3| Radicacion de informe a SDS ajustado (01/05/2023 - 31/05/2023)")</f>
        <v>AICI202214-4-3| Radicacion de informe a SDS ajustado (01/05/2023 - 31/05/2023)</v>
      </c>
      <c r="E11" s="0" t="str">
        <f aca="false">IFERROR(__xludf.dummyfunction("""COMPUTED_VALUE"""),"Se soporta radicado inicial del informe final 17/04/2023 y radicado de observaciones de ajustes del día 31/05/2023.")</f>
        <v>Se soporta radicado inicial del informe final 17/04/2023 y radicado de observaciones de ajustes del día 31/05/2023.</v>
      </c>
      <c r="F11" s="0" t="str">
        <f aca="false">IFERROR(__xludf.dummyfunction("""COMPUTED_VALUE"""),"Completo")</f>
        <v>Completo</v>
      </c>
      <c r="G11" s="0" t="str">
        <f aca="false">IFERROR(__xludf.dummyfunction("""COMPUTED_VALUE"""),"Sí")</f>
        <v>Sí</v>
      </c>
    </row>
    <row r="12" customFormat="false" ht="14.25" hidden="false" customHeight="false" outlineLevel="0" collapsed="false">
      <c r="A12" s="18" t="str">
        <f aca="false">IFERROR(MID(D12,1,FIND("|",D12)-1)&amp;"-"&amp;C12,"")</f>
        <v>AICI202214-5-1-1</v>
      </c>
      <c r="B12" s="19" t="n">
        <f aca="false">IFERROR(__xludf.dummyfunction("""COMPUTED_VALUE"""),45119)</f>
        <v>45119</v>
      </c>
      <c r="C12" s="0" t="n">
        <f aca="false">IFERROR(__xludf.dummyfunction("""COMPUTED_VALUE"""),1)</f>
        <v>1</v>
      </c>
      <c r="D12" s="0" t="str">
        <f aca="false">IFERROR(__xludf.dummyfunction("""COMPUTED_VALUE"""),"AICI202214-5-1| Programar mesas de trabajo entre la dirección de contratación y la dirección de Gestión del Riesgo que permitan evidenciar la planeación de los ... (01/04/2023 - 30/08/2023)")</f>
        <v>AICI202214-5-1| Programar mesas de trabajo entre la dirección de contratación y la dirección de Gestión del Riesgo que permitan evidenciar la planeación de los ... (01/04/2023 - 30/08/2023)</v>
      </c>
      <c r="E12" s="0" t="str">
        <f aca="false">IFERROR(__xludf.dummyfunction("""COMPUTED_VALUE"""),"Se realizan mesas de trabajo a fin de realiza seguimiento a la contración de talento humano e insumos.")</f>
        <v>Se realizan mesas de trabajo a fin de realiza seguimiento a la contración de talento humano e insumos.</v>
      </c>
      <c r="F12" s="0" t="str">
        <f aca="false">IFERROR(__xludf.dummyfunction("""COMPUTED_VALUE"""),"En desarrollo")</f>
        <v>En desarrollo</v>
      </c>
    </row>
    <row r="13" customFormat="false" ht="14.25" hidden="false" customHeight="false" outlineLevel="0" collapsed="false">
      <c r="A13" s="18" t="str">
        <f aca="false">IFERROR(MID(D13,1,FIND("|",D13)-1)&amp;"-"&amp;C13,"")</f>
        <v>AICI202214-5-3-1</v>
      </c>
      <c r="B13" s="19" t="n">
        <f aca="false">IFERROR(__xludf.dummyfunction("""COMPUTED_VALUE"""),45119)</f>
        <v>45119</v>
      </c>
      <c r="C13" s="0" t="n">
        <f aca="false">IFERROR(__xludf.dummyfunction("""COMPUTED_VALUE"""),1)</f>
        <v>1</v>
      </c>
      <c r="D13" s="0" t="str">
        <f aca="false">IFERROR(__xludf.dummyfunction("""COMPUTED_VALUE"""),"AICI202214-5-3| Realizar seguimiento a las contrataciones realizadas en cumplimiento del convenio para las acciones del PIC,... (25/01/2023 - 30/08/2023)")</f>
        <v>AICI202214-5-3| Realizar seguimiento a las contrataciones realizadas en cumplimiento del convenio para las acciones del PIC,... (25/01/2023 - 30/08/2023)</v>
      </c>
      <c r="E13" s="0" t="str">
        <f aca="false">IFERROR(__xludf.dummyfunction("""COMPUTED_VALUE"""),"Durante las mesas de trabajo se realiza seguimiento a la contratación de talento humano e insumos")</f>
        <v>Durante las mesas de trabajo se realiza seguimiento a la contratación de talento humano e insumos</v>
      </c>
      <c r="F13" s="0" t="str">
        <f aca="false">IFERROR(__xludf.dummyfunction("""COMPUTED_VALUE"""),"En desarrollo")</f>
        <v>En desarrollo</v>
      </c>
    </row>
    <row r="14" customFormat="false" ht="14.25" hidden="false" customHeight="false" outlineLevel="0" collapsed="false">
      <c r="A14" s="18" t="str">
        <f aca="false">IFERROR(MID(D14,1,FIND("|",D14)-1)&amp;"-"&amp;C14,"")</f>
        <v>AICI202214-6-1-1</v>
      </c>
      <c r="B14" s="19" t="n">
        <f aca="false">IFERROR(__xludf.dummyfunction("""COMPUTED_VALUE"""),45119)</f>
        <v>45119</v>
      </c>
      <c r="C14" s="0" t="n">
        <f aca="false">IFERROR(__xludf.dummyfunction("""COMPUTED_VALUE"""),1)</f>
        <v>1</v>
      </c>
      <c r="D14" s="0" t="str">
        <f aca="false">IFERROR(__xludf.dummyfunction("""COMPUTED_VALUE"""),"AICI202214-6-1| Realizar actualización del mapa de riesgos institucional en conjunto con la oficina de Desarrollo Institucional (25/01/2023 - 30/04/2023)")</f>
        <v>AICI202214-6-1| Realizar actualización del mapa de riesgos institucional en conjunto con la oficina de Desarrollo Institucional (25/01/2023 - 30/04/2023)</v>
      </c>
      <c r="E14" s="0" t="str">
        <f aca="false">IFERROR(__xludf.dummyfunction("""COMPUTED_VALUE"""),"Se aportan soportes de la actualización del mapa de riesgo en conjunto con la oficina de desarrollo institucional, donde se incluyen riesgos de corrupción para el PSPIC así mismo se aporta registro fotográfico de la actividad.")</f>
        <v>Se aportan soportes de la actualización del mapa de riesgo en conjunto con la oficina de desarrollo institucional, donde se incluyen riesgos de corrupción para el PSPIC así mismo se aporta registro fotográfico de la actividad.</v>
      </c>
      <c r="F14" s="0" t="str">
        <f aca="false">IFERROR(__xludf.dummyfunction("""COMPUTED_VALUE"""),"Completo")</f>
        <v>Completo</v>
      </c>
      <c r="G14" s="0" t="str">
        <f aca="false">IFERROR(__xludf.dummyfunction("""COMPUTED_VALUE"""),"Sí")</f>
        <v>Sí</v>
      </c>
    </row>
    <row r="15" customFormat="false" ht="14.25" hidden="false" customHeight="false" outlineLevel="0" collapsed="false">
      <c r="A15" s="18" t="str">
        <f aca="false">IFERROR(MID(D15,1,FIND("|",D15)-1)&amp;"-"&amp;C15,"")</f>
        <v>AICI202214-6-2-1</v>
      </c>
      <c r="B15" s="19" t="n">
        <f aca="false">IFERROR(__xludf.dummyfunction("""COMPUTED_VALUE"""),45119)</f>
        <v>45119</v>
      </c>
      <c r="C15" s="0" t="n">
        <f aca="false">IFERROR(__xludf.dummyfunction("""COMPUTED_VALUE"""),1)</f>
        <v>1</v>
      </c>
      <c r="D15" s="0" t="str">
        <f aca="false">IFERROR(__xludf.dummyfunction("""COMPUTED_VALUE"""),"AICI202214-6-2| Socializar el mapa de riesgos actualizado al talento humano de los diferentes entornos y transversalidades (01/06/2023 - 30/07/2023)")</f>
        <v>AICI202214-6-2| Socializar el mapa de riesgos actualizado al talento humano de los diferentes entornos y transversalidades (01/06/2023 - 30/07/2023)</v>
      </c>
      <c r="E15" s="0" t="str">
        <f aca="false">IFERROR(__xludf.dummyfunction("""COMPUTED_VALUE"""),"Se soporta con acta de socialización del mapa de riesgos actualizado a los referentes de los entornos y procesos del día 20/06/2023, y acta de socialización al equipo del entorno institucional del día 26/06/2023")</f>
        <v>Se soporta con acta de socialización del mapa de riesgos actualizado a los referentes de los entornos y procesos del día 20/06/2023, y acta de socialización al equipo del entorno institucional del día 26/06/2023</v>
      </c>
      <c r="F15" s="0" t="str">
        <f aca="false">IFERROR(__xludf.dummyfunction("""COMPUTED_VALUE"""),"En desarrollo")</f>
        <v>En desarrollo</v>
      </c>
    </row>
    <row r="16" customFormat="false" ht="14.25" hidden="false" customHeight="false" outlineLevel="0" collapsed="false">
      <c r="A16" s="18" t="str">
        <f aca="false">IFERROR(MID(D16,1,FIND("|",D16)-1)&amp;"-"&amp;C16,"")</f>
        <v>AICI202214-4-4-1</v>
      </c>
      <c r="B16" s="19" t="n">
        <f aca="false">IFERROR(__xludf.dummyfunction("""COMPUTED_VALUE"""),45119)</f>
        <v>45119</v>
      </c>
      <c r="C16" s="0" t="n">
        <f aca="false">IFERROR(__xludf.dummyfunction("""COMPUTED_VALUE"""),1)</f>
        <v>1</v>
      </c>
      <c r="D16" s="0" t="str">
        <f aca="false">IFERROR(__xludf.dummyfunction("""COMPUTED_VALUE"""),"AICI202214-4-4| Realizar las acciones de mejora frente a las desviaciones presentadas (01/05/2023 - 31/05/2023)")</f>
        <v>AICI202214-4-4| Realizar las acciones de mejora frente a las desviaciones presentadas (01/05/2023 - 31/05/2023)</v>
      </c>
      <c r="E16" s="0" t="str">
        <f aca="false">IFERROR(__xludf.dummyfunction("""COMPUTED_VALUE"""),"Con la radicación del ajuste del informe final se da avalado el informe desde secretaria distrital de salud, en donde se realizan las acciones correctivas solicitadas por SDS.")</f>
        <v>Con la radicación del ajuste del informe final se da avalado el informe desde secretaria distrital de salud, en donde se realizan las acciones correctivas solicitadas por SDS.</v>
      </c>
      <c r="F16" s="0" t="str">
        <f aca="false">IFERROR(__xludf.dummyfunction("""COMPUTED_VALUE"""),"Completo")</f>
        <v>Completo</v>
      </c>
      <c r="G16" s="0" t="str">
        <f aca="false">IFERROR(__xludf.dummyfunction("""COMPUTED_VALUE"""),"Sí")</f>
        <v>Sí</v>
      </c>
    </row>
    <row r="17" customFormat="false" ht="14.25" hidden="false" customHeight="false" outlineLevel="0" collapsed="false">
      <c r="A17" s="18" t="str">
        <f aca="false">IFERROR(MID(D17,1,FIND("|",D17)-1)&amp;"-"&amp;C17,"")</f>
        <v>AICI202214-7-1-1</v>
      </c>
      <c r="B17" s="19" t="n">
        <f aca="false">IFERROR(__xludf.dummyfunction("""COMPUTED_VALUE"""),45119)</f>
        <v>45119</v>
      </c>
      <c r="C17" s="0" t="n">
        <f aca="false">IFERROR(__xludf.dummyfunction("""COMPUTED_VALUE"""),1)</f>
        <v>1</v>
      </c>
      <c r="D17" s="0" t="str">
        <f aca="false">IFERROR(__xludf.dummyfunction("""COMPUTED_VALUE"""),"AICI202214-7-1| Solicitar al area de TIC´s la ampliación de la capacidad de memoria de los correos institucionales a fin realizar backup y almacenar la ... (01/03/2023 - 30/06/2023)")</f>
        <v>AICI202214-7-1| Solicitar al area de TIC´s la ampliación de la capacidad de memoria de los correos institucionales a fin realizar backup y almacenar la ... (01/03/2023 - 30/06/2023)</v>
      </c>
      <c r="E17" s="0" t="str">
        <f aca="false">IFERROR(__xludf.dummyfunction("""COMPUTED_VALUE"""),"Se aportan dos correos enviados a la oficina de TICS donde se solicita la ampliación de la capacidad de los correos institucionales y la solicitud de TERAS donde se informa que esta en tramite desde esta oficina")</f>
        <v>Se aportan dos correos enviados a la oficina de TICS donde se solicita la ampliación de la capacidad de los correos institucionales y la solicitud de TERAS donde se informa que esta en tramite desde esta oficina</v>
      </c>
      <c r="F17" s="0" t="str">
        <f aca="false">IFERROR(__xludf.dummyfunction("""COMPUTED_VALUE"""),"Completo")</f>
        <v>Completo</v>
      </c>
      <c r="G17" s="0" t="str">
        <f aca="false">IFERROR(__xludf.dummyfunction("""COMPUTED_VALUE"""),"Sí")</f>
        <v>Sí</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1788</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AICI202213-2-2-1</v>
      </c>
      <c r="B4" s="19" t="n">
        <f aca="false">IFERROR(__xludf.dummyfunction("""COMPUTED_VALUE"""),45121)</f>
        <v>45121</v>
      </c>
      <c r="C4" s="0" t="n">
        <f aca="false">IFERROR(__xludf.dummyfunction("""COMPUTED_VALUE"""),1)</f>
        <v>1</v>
      </c>
      <c r="D4" s="0" t="str">
        <f aca="false">IFERROR(__xludf.dummyfunction("""COMPUTED_VALUE"""),"AICI202213-2-2| Gestionar la contratación de la dotación requerida para el cumplimiento normativo de este beneficio. (31/10/2022 - 31/01/2023)")</f>
        <v>AICI202213-2-2| Gestionar la contratación de la dotación requerida para el cumplimiento normativo de este beneficio. (31/10/2022 - 31/01/2023)</v>
      </c>
      <c r="E4" s="0" t="str">
        <f aca="false">IFERROR(__xludf.dummyfunction("""COMPUTED_VALUE"""),"Se suscribió el contrato No. 214 - 2022 para la entrega de las dotaciones correspondiente a las vigencias 2021 y 2022. ")</f>
        <v>Se suscribió el contrato No. 214 - 2022 para la entrega de las dotaciones correspondiente a las vigencias 2021 y 2022. </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AICI202213-2-3-1</v>
      </c>
      <c r="B5" s="19" t="n">
        <f aca="false">IFERROR(__xludf.dummyfunction("""COMPUTED_VALUE"""),45121)</f>
        <v>45121</v>
      </c>
      <c r="C5" s="0" t="n">
        <f aca="false">IFERROR(__xludf.dummyfunction("""COMPUTED_VALUE"""),1)</f>
        <v>1</v>
      </c>
      <c r="D5" s="0" t="str">
        <f aca="false">IFERROR(__xludf.dummyfunction("""COMPUTED_VALUE"""),"AICI202213-2-3| Realizar la gestión administrativa de ingreso y salida al almacén de las dotaciones contratadas. (31/10/2022 - 31/01/2023)")</f>
        <v>AICI202213-2-3| Realizar la gestión administrativa de ingreso y salida al almacén de las dotaciones contratadas. (31/10/2022 - 31/01/2023)</v>
      </c>
      <c r="E5" s="0" t="str">
        <f aca="false">IFERROR(__xludf.dummyfunction("""COMPUTED_VALUE"""),"Se realizó la gestión administrativa requerida para el ingreso y salida de almacén de las dotaciones contratadas ")</f>
        <v>Se realizó la gestión administrativa requerida para el ingreso y salida de almacén de las dotaciones contratadas </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AICI202213-2-4-1</v>
      </c>
      <c r="B6" s="19" t="n">
        <f aca="false">IFERROR(__xludf.dummyfunction("""COMPUTED_VALUE"""),45121)</f>
        <v>45121</v>
      </c>
      <c r="C6" s="0" t="n">
        <f aca="false">IFERROR(__xludf.dummyfunction("""COMPUTED_VALUE"""),1)</f>
        <v>1</v>
      </c>
      <c r="D6" s="0" t="str">
        <f aca="false">IFERROR(__xludf.dummyfunction("""COMPUTED_VALUE"""),"AICI202213-2-4| Realizar la entrega de la dotación contratada a los beneficiarios (31/10/2022 - 31/01/2023)")</f>
        <v>AICI202213-2-4| Realizar la entrega de la dotación contratada a los beneficiarios (31/10/2022 - 31/01/2023)</v>
      </c>
      <c r="E6" s="0" t="str">
        <f aca="false">IFERROR(__xludf.dummyfunction("""COMPUTED_VALUE"""),"Las dotaciones de las vigencias 2021- 2022 fueron entregadas y se anexa el listado. ")</f>
        <v>Las dotaciones de las vigencias 2021- 2022 fueron entregadas y se anexa el listado. </v>
      </c>
      <c r="F6" s="0" t="str">
        <f aca="false">IFERROR(__xludf.dummyfunction("""COMPUTED_VALUE"""),"Completo")</f>
        <v>Completo</v>
      </c>
      <c r="G6" s="0" t="str">
        <f aca="false">IFERROR(__xludf.dummyfunction("""COMPUTED_VALUE"""),"Sí")</f>
        <v>Sí</v>
      </c>
    </row>
    <row r="7" customFormat="false" ht="14.25" hidden="false" customHeight="false" outlineLevel="0" collapsed="false">
      <c r="A7" s="18" t="str">
        <f aca="false">IFERROR(MID(D7,1,FIND("|",D7)-1)&amp;"-"&amp;C7,"")</f>
        <v>AICI202213-3-1-1</v>
      </c>
      <c r="B7" s="19" t="n">
        <f aca="false">IFERROR(__xludf.dummyfunction("""COMPUTED_VALUE"""),45121)</f>
        <v>45121</v>
      </c>
      <c r="C7" s="0" t="n">
        <f aca="false">IFERROR(__xludf.dummyfunction("""COMPUTED_VALUE"""),1)</f>
        <v>1</v>
      </c>
      <c r="D7" s="0" t="str">
        <f aca="false">IFERROR(__xludf.dummyfunction("""COMPUTED_VALUE"""),"AICI202213-3-1| Identificar la necesidad de insumos requeridos para la correcta disposición del archivo de Historias Laborales (01/01/2023 - 31/03/2023)")</f>
        <v>AICI202213-3-1| Identificar la necesidad de insumos requeridos para la correcta disposición del archivo de Historias Laborales (01/01/2023 - 31/03/2023)</v>
      </c>
      <c r="E7" s="0" t="str">
        <f aca="false">IFERROR(__xludf.dummyfunction("""COMPUTED_VALUE"""),"Se identificaron los insumos requeridos para el correcto archivo de las historias laborales  ")</f>
        <v>Se identificaron los insumos requeridos para el correcto archivo de las historias laborales  </v>
      </c>
      <c r="F7" s="0" t="str">
        <f aca="false">IFERROR(__xludf.dummyfunction("""COMPUTED_VALUE"""),"Completo")</f>
        <v>Completo</v>
      </c>
      <c r="G7" s="0" t="str">
        <f aca="false">IFERROR(__xludf.dummyfunction("""COMPUTED_VALUE"""),"Sí")</f>
        <v>Sí</v>
      </c>
    </row>
    <row r="8" customFormat="false" ht="14.25" hidden="false" customHeight="false" outlineLevel="0" collapsed="false">
      <c r="A8" s="18" t="str">
        <f aca="false">IFERROR(MID(D8,1,FIND("|",D8)-1)&amp;"-"&amp;C8,"")</f>
        <v>AICI202213-3-2-1</v>
      </c>
      <c r="B8" s="19" t="n">
        <f aca="false">IFERROR(__xludf.dummyfunction("""COMPUTED_VALUE"""),45121)</f>
        <v>45121</v>
      </c>
      <c r="C8" s="0" t="n">
        <f aca="false">IFERROR(__xludf.dummyfunction("""COMPUTED_VALUE"""),1)</f>
        <v>1</v>
      </c>
      <c r="D8" s="0" t="str">
        <f aca="false">IFERROR(__xludf.dummyfunction("""COMPUTED_VALUE"""),"AICI202213-3-2| Solicitar insumos al área administrativa de acuerdo con la necesidad detectada. (01/01/2023 - 31/03/2023)")</f>
        <v>AICI202213-3-2| Solicitar insumos al área administrativa de acuerdo con la necesidad detectada. (01/01/2023 - 31/03/2023)</v>
      </c>
      <c r="E8" s="0" t="str">
        <f aca="false">IFERROR(__xludf.dummyfunction("""COMPUTED_VALUE"""),"Mediante correo de fecha 19 de enero de 2023 la Directora de Talento Humano solicitó al Director Administrativo el suministro de los insumos requeridos para el correcto archivo de las historias laborales ")</f>
        <v>Mediante correo de fecha 19 de enero de 2023 la Directora de Talento Humano solicitó al Director Administrativo el suministro de los insumos requeridos para el correcto archivo de las historias laborales </v>
      </c>
      <c r="F8" s="0" t="str">
        <f aca="false">IFERROR(__xludf.dummyfunction("""COMPUTED_VALUE"""),"Completo")</f>
        <v>Completo</v>
      </c>
      <c r="G8" s="0" t="str">
        <f aca="false">IFERROR(__xludf.dummyfunction("""COMPUTED_VALUE"""),"Sí")</f>
        <v>Sí</v>
      </c>
    </row>
    <row r="9" customFormat="false" ht="14.25" hidden="false" customHeight="false" outlineLevel="0" collapsed="false">
      <c r="A9" s="18" t="str">
        <f aca="false">IFERROR(MID(D9,1,FIND("|",D9)-1)&amp;"-"&amp;C9,"")</f>
        <v>AICI202213-2-1-1</v>
      </c>
      <c r="B9" s="19" t="n">
        <f aca="false">IFERROR(__xludf.dummyfunction("""COMPUTED_VALUE"""),45121)</f>
        <v>45121</v>
      </c>
      <c r="C9" s="0" t="n">
        <f aca="false">IFERROR(__xludf.dummyfunction("""COMPUTED_VALUE"""),1)</f>
        <v>1</v>
      </c>
      <c r="D9" s="0" t="str">
        <f aca="false">IFERROR(__xludf.dummyfunction("""COMPUTED_VALUE"""),"AICI202213-2-1| Definir los trabajadores oficiales y servidores públicos beneficiarias de la dotación (31/10/2022 - 31/01/2023)")</f>
        <v>AICI202213-2-1| Definir los trabajadores oficiales y servidores públicos beneficiarias de la dotación (31/10/2022 - 31/01/2023)</v>
      </c>
      <c r="E9" s="0" t="str">
        <f aca="false">IFERROR(__xludf.dummyfunction("""COMPUTED_VALUE"""),"Se realizó el listado de los trabajadores oficiales y servidores públicos que tenían derecho a las dotaciones de las vigencias 2021-2022  ")</f>
        <v>Se realizó el listado de los trabajadores oficiales y servidores públicos que tenían derecho a las dotaciones de las vigencias 2021-2022  </v>
      </c>
      <c r="F9" s="0" t="str">
        <f aca="false">IFERROR(__xludf.dummyfunction("""COMPUTED_VALUE"""),"Completo")</f>
        <v>Completo</v>
      </c>
      <c r="G9" s="0" t="str">
        <f aca="false">IFERROR(__xludf.dummyfunction("""COMPUTED_VALUE"""),"Sí")</f>
        <v>Sí</v>
      </c>
    </row>
    <row r="10" customFormat="false" ht="14.25" hidden="false" customHeight="false" outlineLevel="0" collapsed="false">
      <c r="A10" s="18" t="str">
        <f aca="false">IFERROR(MID(D10,1,FIND("|",D10)-1)&amp;"-"&amp;C10,"")</f>
        <v>AICI202213-4-1-1</v>
      </c>
      <c r="B10" s="19" t="n">
        <f aca="false">IFERROR(__xludf.dummyfunction("""COMPUTED_VALUE"""),45121)</f>
        <v>45121</v>
      </c>
      <c r="C10" s="0" t="n">
        <f aca="false">IFERROR(__xludf.dummyfunction("""COMPUTED_VALUE"""),1)</f>
        <v>1</v>
      </c>
      <c r="D10" s="0" t="str">
        <f aca="false">IFERROR(__xludf.dummyfunction("""COMPUTED_VALUE"""),"AICI202213-4-1| Realizar y soportar la entrega del proceso Selección de OPS a la Dirección de Contratación… (01/11/2022 - 31/03/2023)")</f>
        <v>AICI202213-4-1| Realizar y soportar la entrega del proceso Selección de OPS a la Dirección de Contratación… (01/11/2022 - 31/03/2023)</v>
      </c>
      <c r="E10" s="0" t="str">
        <f aca="false">IFERROR(__xludf.dummyfunction("""COMPUTED_VALUE"""),"El 1 de noviembre de 2022, se realizó la entrega  del proceso de selección mediante acta #1 de empalme entre Gestión de Talento Humano y contratación con el acompañamiento de la Subgerencia Corporativa. ")</f>
        <v>El 1 de noviembre de 2022, se realizó la entrega  del proceso de selección mediante acta #1 de empalme entre Gestión de Talento Humano y contratación con el acompañamiento de la Subgerencia Corporativa. </v>
      </c>
      <c r="F10" s="0" t="str">
        <f aca="false">IFERROR(__xludf.dummyfunction("""COMPUTED_VALUE"""),"Completo")</f>
        <v>Completo</v>
      </c>
      <c r="G10" s="0" t="str">
        <f aca="false">IFERROR(__xludf.dummyfunction("""COMPUTED_VALUE"""),"Sí")</f>
        <v>Sí</v>
      </c>
    </row>
    <row r="11" customFormat="false" ht="14.25" hidden="false" customHeight="false" outlineLevel="0" collapsed="false">
      <c r="A11" s="18" t="str">
        <f aca="false">IFERROR(MID(D11,1,FIND("|",D11)-1)&amp;"-"&amp;C11,"")</f>
        <v>AICI202213-5-1-1</v>
      </c>
      <c r="B11" s="19" t="n">
        <f aca="false">IFERROR(__xludf.dummyfunction("""COMPUTED_VALUE"""),45121)</f>
        <v>45121</v>
      </c>
      <c r="C11" s="0" t="n">
        <f aca="false">IFERROR(__xludf.dummyfunction("""COMPUTED_VALUE"""),1)</f>
        <v>1</v>
      </c>
      <c r="D11" s="0" t="str">
        <f aca="false">IFERROR(__xludf.dummyfunction("""COMPUTED_VALUE"""),"AICI202213-5-1| Revisar las inconsistencias encontradas referidas en el hallazgo (01/11/2022 - 31/01/2023)")</f>
        <v>AICI202213-5-1| Revisar las inconsistencias encontradas referidas en el hallazgo (01/11/2022 - 31/01/2023)</v>
      </c>
      <c r="E11" s="0" t="str">
        <f aca="false">IFERROR(__xludf.dummyfunction("""COMPUTED_VALUE"""),"Se realizó análisis de las inconsistencias encontradas en los indicadores de los meses de abril y mayo de 2022, donde se evidenció que las actividades proyectadas con el programa conscientemente  se venían realizando de acuerdo a las necesidades generadas"&amp;" por la pandemia. ")</f>
        <v>Se realizó análisis de las inconsistencias encontradas en los indicadores de los meses de abril y mayo de 2022, donde se evidenció que las actividades proyectadas con el programa conscientemente  se venían realizando de acuerdo a las necesidades generadas por la pandemia. </v>
      </c>
      <c r="F11" s="0" t="str">
        <f aca="false">IFERROR(__xludf.dummyfunction("""COMPUTED_VALUE"""),"Completo")</f>
        <v>Completo</v>
      </c>
      <c r="G11" s="0" t="str">
        <f aca="false">IFERROR(__xludf.dummyfunction("""COMPUTED_VALUE"""),"Sí")</f>
        <v>Sí</v>
      </c>
    </row>
    <row r="12" customFormat="false" ht="14.25" hidden="false" customHeight="false" outlineLevel="0" collapsed="false">
      <c r="A12" s="18" t="str">
        <f aca="false">IFERROR(MID(D12,1,FIND("|",D12)-1)&amp;"-"&amp;C12,"")</f>
        <v>AICI202213-5-2-1</v>
      </c>
      <c r="B12" s="19" t="n">
        <f aca="false">IFERROR(__xludf.dummyfunction("""COMPUTED_VALUE"""),45121)</f>
        <v>45121</v>
      </c>
      <c r="C12" s="0" t="n">
        <f aca="false">IFERROR(__xludf.dummyfunction("""COMPUTED_VALUE"""),1)</f>
        <v>1</v>
      </c>
      <c r="D12" s="0" t="str">
        <f aca="false">IFERROR(__xludf.dummyfunction("""COMPUTED_VALUE"""),"AICI202213-5-2| Ajustar el plan de acuerdo con el direccionamiento de gerencia y los lineamientos establecidos por la declaratoria de emergencia … (01/11/2022 - 31/01/2023)")</f>
        <v>AICI202213-5-2| Ajustar el plan de acuerdo con el direccionamiento de gerencia y los lineamientos establecidos por la declaratoria de emergencia … (01/11/2022 - 31/01/2023)</v>
      </c>
      <c r="E12" s="0" t="str">
        <f aca="false">IFERROR(__xludf.dummyfunction("""COMPUTED_VALUE"""),"De acuerdo con la revisión de las inconsistencias y habiéndose normalizado esta emergencia la gerencia solicito el ajuste al plan realizando actividades de integración como día de profesiones y oficios, cierre de gestión y día de la familia entre otros en"&amp;"focadas al fortalecimiento de la salud mental pos pandemia. Es importante resaltar que el cumplimiento del plan en la vigencia 2022 al cierre de vigencia fue del 96% como se evidencia en el informe de Gestión publicado en la Web de la entidad. ")</f>
        <v>De acuerdo con la revisión de las inconsistencias y habiéndose normalizado esta emergencia la gerencia solicito el ajuste al plan realizando actividades de integración como día de profesiones y oficios, cierre de gestión y día de la familia entre otros enfocadas al fortalecimiento de la salud mental pos pandemia. Es importante resaltar que el cumplimiento del plan en la vigencia 2022 al cierre de vigencia fue del 96% como se evidencia en el informe de Gestión publicado en la Web de la entidad. </v>
      </c>
      <c r="F12" s="0" t="str">
        <f aca="false">IFERROR(__xludf.dummyfunction("""COMPUTED_VALUE"""),"Completo")</f>
        <v>Completo</v>
      </c>
      <c r="G12" s="0" t="str">
        <f aca="false">IFERROR(__xludf.dummyfunction("""COMPUTED_VALUE"""),"Sí")</f>
        <v>Sí</v>
      </c>
    </row>
    <row r="13" customFormat="false" ht="14.25" hidden="false" customHeight="false" outlineLevel="0" collapsed="false">
      <c r="A13" s="18" t="str">
        <f aca="false">IFERROR(MID(D13,1,FIND("|",D13)-1)&amp;"-"&amp;C13,"")</f>
        <v>AICI202213-5-3-1</v>
      </c>
      <c r="B13" s="19" t="n">
        <f aca="false">IFERROR(__xludf.dummyfunction("""COMPUTED_VALUE"""),45121)</f>
        <v>45121</v>
      </c>
      <c r="C13" s="0" t="n">
        <f aca="false">IFERROR(__xludf.dummyfunction("""COMPUTED_VALUE"""),1)</f>
        <v>1</v>
      </c>
      <c r="D13" s="0" t="str">
        <f aca="false">IFERROR(__xludf.dummyfunction("""COMPUTED_VALUE"""),"AICI202213-5-3| Presentar informe de gestión del cumplimiento del plan de bienestar vigencia 2022 (01/11/2022 - 31/01/2023)")</f>
        <v>AICI202213-5-3| Presentar informe de gestión del cumplimiento del plan de bienestar vigencia 2022 (01/11/2022 - 31/01/2023)</v>
      </c>
      <c r="E13" s="0" t="str">
        <f aca="false">IFERROR(__xludf.dummyfunction("""COMPUTED_VALUE"""),"La dirección de talento Humano presento el informe de gestión del plan de bienestar de la Subred para la vigencia 2022")</f>
        <v>La dirección de talento Humano presento el informe de gestión del plan de bienestar de la Subred para la vigencia 2022</v>
      </c>
      <c r="F13" s="0" t="str">
        <f aca="false">IFERROR(__xludf.dummyfunction("""COMPUTED_VALUE"""),"Completo")</f>
        <v>Completo</v>
      </c>
      <c r="G13" s="0" t="str">
        <f aca="false">IFERROR(__xludf.dummyfunction("""COMPUTED_VALUE"""),"Sí")</f>
        <v>Sí</v>
      </c>
    </row>
    <row r="14" customFormat="false" ht="14.25" hidden="false" customHeight="false" outlineLevel="0" collapsed="false">
      <c r="A14" s="18" t="str">
        <f aca="false">IFERROR(MID(D14,1,FIND("|",D14)-1)&amp;"-"&amp;C14,"")</f>
        <v>AICI202213-5-3-1</v>
      </c>
      <c r="B14" s="19" t="n">
        <f aca="false">IFERROR(__xludf.dummyfunction("""COMPUTED_VALUE"""),45121)</f>
        <v>45121</v>
      </c>
      <c r="C14" s="0" t="n">
        <f aca="false">IFERROR(__xludf.dummyfunction("""COMPUTED_VALUE"""),1)</f>
        <v>1</v>
      </c>
      <c r="D14" s="0" t="str">
        <f aca="false">IFERROR(__xludf.dummyfunction("""COMPUTED_VALUE"""),"AICI202213-5-3| Presentar informe de gestión del cumplimiento del plan de bienestar vigencia 2022 (01/11/2022 - 31/01/2023)")</f>
        <v>AICI202213-5-3| Presentar informe de gestión del cumplimiento del plan de bienestar vigencia 2022 (01/11/2022 - 31/01/2023)</v>
      </c>
      <c r="E14" s="0" t="str">
        <f aca="false">IFERROR(__xludf.dummyfunction("""COMPUTED_VALUE"""),"Se publico el plan de gestión de bienestar de la vigencia 2022 como parte del informe de gestión de la Subred el cual s encuentra en el siguiente Link  https://www.subrednorte.gov.co/transparencia/control/informes-gesti%C3%B3n-evaluaci%C3%B3n-y-auditoria/"&amp;"informe-gesti%C3%B3n-y-resultados, en la pagina 193.")</f>
        <v>Se publico el plan de gestión de bienestar de la vigencia 2022 como parte del informe de gestión de la Subred el cual s encuentra en el siguiente Link  https://www.subrednorte.gov.co/transparencia/control/informes-gesti%C3%B3n-evaluaci%C3%B3n-y-auditoria/informe-gesti%C3%B3n-y-resultados, en la pagina 193.</v>
      </c>
      <c r="F14" s="0" t="str">
        <f aca="false">IFERROR(__xludf.dummyfunction("""COMPUTED_VALUE"""),"Completo")</f>
        <v>Completo</v>
      </c>
      <c r="G14" s="0" t="str">
        <f aca="false">IFERROR(__xludf.dummyfunction("""COMPUTED_VALUE"""),"Sí")</f>
        <v>Sí</v>
      </c>
    </row>
    <row r="15" customFormat="false" ht="14.25" hidden="false" customHeight="false" outlineLevel="0" collapsed="false">
      <c r="A15" s="18" t="str">
        <f aca="false">IFERROR(MID(D15,1,FIND("|",D15)-1)&amp;"-"&amp;C15,"")</f>
        <v>AICI202213-5-4-1</v>
      </c>
      <c r="B15" s="19" t="n">
        <f aca="false">IFERROR(__xludf.dummyfunction("""COMPUTED_VALUE"""),45121)</f>
        <v>45121</v>
      </c>
      <c r="C15" s="0" t="n">
        <f aca="false">IFERROR(__xludf.dummyfunction("""COMPUTED_VALUE"""),1)</f>
        <v>1</v>
      </c>
      <c r="D15" s="0" t="str">
        <f aca="false">IFERROR(__xludf.dummyfunction("""COMPUTED_VALUE"""),"AICI202213-5-4| Publicar el informe de gestión del Talento Humano de la vigencia 2022 (01/11/2022 - 31/01/2023)")</f>
        <v>AICI202213-5-4| Publicar el informe de gestión del Talento Humano de la vigencia 2022 (01/11/2022 - 31/01/2023)</v>
      </c>
      <c r="E15" s="0" t="str">
        <f aca="false">IFERROR(__xludf.dummyfunction("""COMPUTED_VALUE"""),"Se público el informe de gestión de Bienestar de la vigencia 2022, como parte del informe de gestión de la Subred se encuentra en la pagina 193 del siguiente Link https://www.subrednorte.gov.co/transparencia/control/informes-gesti%C3%B3n-evaluaci%C3%B3n-y"&amp;"-auditoria/informe-gesti%C3%B3n-y-resultados.")</f>
        <v>Se público el informe de gestión de Bienestar de la vigencia 2022, como parte del informe de gestión de la Subred se encuentra en la pagina 193 del siguiente Link https://www.subrednorte.gov.co/transparencia/control/informes-gesti%C3%B3n-evaluaci%C3%B3n-y-auditoria/informe-gesti%C3%B3n-y-resultados.</v>
      </c>
      <c r="F15" s="0" t="str">
        <f aca="false">IFERROR(__xludf.dummyfunction("""COMPUTED_VALUE"""),"Completo")</f>
        <v>Completo</v>
      </c>
      <c r="G15" s="0" t="str">
        <f aca="false">IFERROR(__xludf.dummyfunction("""COMPUTED_VALUE"""),"Sí")</f>
        <v>Sí</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1789</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AICI202212-1-1-1</v>
      </c>
      <c r="B4" s="19" t="n">
        <f aca="false">IFERROR(__xludf.dummyfunction("""COMPUTED_VALUE"""),45030)</f>
        <v>45030</v>
      </c>
      <c r="C4" s="0" t="n">
        <f aca="false">IFERROR(__xludf.dummyfunction("""COMPUTED_VALUE"""),1)</f>
        <v>1</v>
      </c>
      <c r="D4" s="0" t="str">
        <f aca="false">IFERROR(__xludf.dummyfunction("""COMPUTED_VALUE"""),"AICI202212-1-1| P: Diseñar y actualizar el procedimiento de atencion pre hospitalaria según los lineamientos de la oficina de calidad (01/01/2023 - 30/04/2023)")</f>
        <v>AICI202212-1-1| P: Diseñar y actualizar el procedimiento de atencion pre hospitalaria según los lineamientos de la oficina de calidad (01/01/2023 - 30/04/2023)</v>
      </c>
      <c r="E4" s="0" t="str">
        <f aca="false">IFERROR(__xludf.dummyfunction("""COMPUTED_VALUE"""),"Se Observa el Procedimiento MI-GU-P-03 procedimiento de atención integral prehospitalaria")</f>
        <v>Se Observa el Procedimiento MI-GU-P-03 procedimiento de atención integral prehospitalaria</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AICI202212-1-2-1</v>
      </c>
      <c r="B5" s="19" t="n">
        <f aca="false">IFERROR(__xludf.dummyfunction("""COMPUTED_VALUE"""),45030)</f>
        <v>45030</v>
      </c>
      <c r="C5" s="0" t="n">
        <f aca="false">IFERROR(__xludf.dummyfunction("""COMPUTED_VALUE"""),1)</f>
        <v>1</v>
      </c>
      <c r="D5" s="0" t="str">
        <f aca="false">IFERROR(__xludf.dummyfunction("""COMPUTED_VALUE"""),"AICI202212-1-2| H: Normalizar el documento para su publicacion institucional (30/04/2023 - 01/05/2023)")</f>
        <v>AICI202212-1-2| H: Normalizar el documento para su publicacion institucional (30/04/2023 - 01/05/2023)</v>
      </c>
      <c r="E5" s="0" t="str">
        <f aca="false">IFERROR(__xludf.dummyfunction("""COMPUTED_VALUE"""),"El documento se encuentra en la Plataforma Almera")</f>
        <v>El documento se encuentra en la Plataforma Almera</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AICI202212-2-1-1</v>
      </c>
      <c r="B6" s="19" t="n">
        <f aca="false">IFERROR(__xludf.dummyfunction("""COMPUTED_VALUE"""),45030)</f>
        <v>45030</v>
      </c>
      <c r="C6" s="0" t="n">
        <f aca="false">IFERROR(__xludf.dummyfunction("""COMPUTED_VALUE"""),1)</f>
        <v>1</v>
      </c>
      <c r="D6" s="0" t="str">
        <f aca="false">IFERROR(__xludf.dummyfunction("""COMPUTED_VALUE"""),"AICI202212-2-1| P: Diseñar el procedimiento de atencion pre hospitalaria según los lineamientos de la oficina de calidad (01/01/2023 - 28/02/2023)")</f>
        <v>AICI202212-2-1| P: Diseñar el procedimiento de atencion pre hospitalaria según los lineamientos de la oficina de calidad (01/01/2023 - 28/02/2023)</v>
      </c>
      <c r="E6" s="0" t="str">
        <f aca="false">IFERROR(__xludf.dummyfunction("""COMPUTED_VALUE"""),"Se encuentra el procedimiento MI-GU-P-03,en la herramienta Almera")</f>
        <v>Se encuentra el procedimiento MI-GU-P-03,en la herramienta Almera</v>
      </c>
      <c r="F6" s="0" t="str">
        <f aca="false">IFERROR(__xludf.dummyfunction("""COMPUTED_VALUE"""),"Completo")</f>
        <v>Completo</v>
      </c>
      <c r="G6" s="0" t="str">
        <f aca="false">IFERROR(__xludf.dummyfunction("""COMPUTED_VALUE"""),"Sí")</f>
        <v>Sí</v>
      </c>
    </row>
    <row r="7" customFormat="false" ht="14.25" hidden="false" customHeight="false" outlineLevel="0" collapsed="false">
      <c r="A7" s="18" t="str">
        <f aca="false">IFERROR(MID(D7,1,FIND("|",D7)-1)&amp;"-"&amp;C7,"")</f>
        <v>AICI202212-2-2-1</v>
      </c>
      <c r="B7" s="19" t="n">
        <f aca="false">IFERROR(__xludf.dummyfunction("""COMPUTED_VALUE"""),45030)</f>
        <v>45030</v>
      </c>
      <c r="C7" s="0" t="n">
        <f aca="false">IFERROR(__xludf.dummyfunction("""COMPUTED_VALUE"""),1)</f>
        <v>1</v>
      </c>
      <c r="D7" s="0" t="str">
        <f aca="false">IFERROR(__xludf.dummyfunction("""COMPUTED_VALUE"""),"AICI202212-2-2| H: Normalizar el documento para su publicacion institucional (01/03/2023 - 31/03/2023)")</f>
        <v>AICI202212-2-2| H: Normalizar el documento para su publicacion institucional (01/03/2023 - 31/03/2023)</v>
      </c>
      <c r="E7" s="0" t="str">
        <f aca="false">IFERROR(__xludf.dummyfunction("""COMPUTED_VALUE"""),"Se evidencia publicado en Almera")</f>
        <v>Se evidencia publicado en Almera</v>
      </c>
      <c r="F7" s="0" t="str">
        <f aca="false">IFERROR(__xludf.dummyfunction("""COMPUTED_VALUE"""),"Completo")</f>
        <v>Completo</v>
      </c>
      <c r="G7" s="0" t="str">
        <f aca="false">IFERROR(__xludf.dummyfunction("""COMPUTED_VALUE"""),"Sí")</f>
        <v>Sí</v>
      </c>
    </row>
    <row r="8" customFormat="false" ht="14.25" hidden="false" customHeight="false" outlineLevel="0" collapsed="false">
      <c r="A8" s="18" t="str">
        <f aca="false">IFERROR(MID(D8,1,FIND("|",D8)-1)&amp;"-"&amp;C8,"")</f>
        <v>AICI202212-3-1-1</v>
      </c>
      <c r="B8" s="19" t="n">
        <f aca="false">IFERROR(__xludf.dummyfunction("""COMPUTED_VALUE"""),45030)</f>
        <v>45030</v>
      </c>
      <c r="C8" s="0" t="n">
        <f aca="false">IFERROR(__xludf.dummyfunction("""COMPUTED_VALUE"""),1)</f>
        <v>1</v>
      </c>
      <c r="D8" s="0" t="str">
        <f aca="false">IFERROR(__xludf.dummyfunction("""COMPUTED_VALUE"""),"AICI202212-3-1| P: Revisar y armonizar los riesgos administrativos del proceso de atencion prehospitalaria a la luz de la metodologia DAFP (01/01/2023 - 31/01/2023)")</f>
        <v>AICI202212-3-1| P: Revisar y armonizar los riesgos administrativos del proceso de atencion prehospitalaria a la luz de la metodologia DAFP (01/01/2023 - 31/01/2023)</v>
      </c>
      <c r="E8" s="0" t="str">
        <f aca="false">IFERROR(__xludf.dummyfunction("""COMPUTED_VALUE"""),"Se evidencia matriz de riesgos institucional 2023, donde se encuentra riesgo GURG01 para el servicio de urgencias")</f>
        <v>Se evidencia matriz de riesgos institucional 2023, donde se encuentra riesgo GURG01 para el servicio de urgencias</v>
      </c>
      <c r="F8" s="0" t="str">
        <f aca="false">IFERROR(__xludf.dummyfunction("""COMPUTED_VALUE"""),"Completo")</f>
        <v>Completo</v>
      </c>
      <c r="G8" s="0" t="str">
        <f aca="false">IFERROR(__xludf.dummyfunction("""COMPUTED_VALUE"""),"Sí")</f>
        <v>Sí</v>
      </c>
    </row>
    <row r="9" customFormat="false" ht="14.25" hidden="false" customHeight="false" outlineLevel="0" collapsed="false">
      <c r="A9" s="18" t="str">
        <f aca="false">IFERROR(MID(D9,1,FIND("|",D9)-1)&amp;"-"&amp;C9,"")</f>
        <v>AICI202212-3-2-1</v>
      </c>
      <c r="B9" s="19" t="n">
        <f aca="false">IFERROR(__xludf.dummyfunction("""COMPUTED_VALUE"""),45030)</f>
        <v>45030</v>
      </c>
      <c r="C9" s="0" t="n">
        <f aca="false">IFERROR(__xludf.dummyfunction("""COMPUTED_VALUE"""),1)</f>
        <v>1</v>
      </c>
      <c r="D9" s="0" t="str">
        <f aca="false">IFERROR(__xludf.dummyfunction("""COMPUTED_VALUE"""),"AICI202212-3-2| H: Actualizar el mapa de riesgo del proceso de atencion prehospitalaria en cuanto a riesgos de corrupcion (01/02/2023 - 28/02/2023)")</f>
        <v>AICI202212-3-2| H: Actualizar el mapa de riesgo del proceso de atencion prehospitalaria en cuanto a riesgos de corrupcion (01/02/2023 - 28/02/2023)</v>
      </c>
      <c r="E9" s="0" t="str">
        <f aca="false">IFERROR(__xludf.dummyfunction("""COMPUTED_VALUE"""),"La evidencia enviada no corresponde a la acción")</f>
        <v>La evidencia enviada no corresponde a la acción</v>
      </c>
      <c r="F9" s="0" t="str">
        <f aca="false">IFERROR(__xludf.dummyfunction("""COMPUTED_VALUE"""),"Atrasado")</f>
        <v>Atrasado</v>
      </c>
    </row>
    <row r="10" customFormat="false" ht="14.25" hidden="false" customHeight="false" outlineLevel="0" collapsed="false">
      <c r="A10" s="18" t="str">
        <f aca="false">IFERROR(MID(D10,1,FIND("|",D10)-1)&amp;"-"&amp;C10,"")</f>
        <v>AICI202212-3-3-1</v>
      </c>
      <c r="B10" s="19" t="n">
        <f aca="false">IFERROR(__xludf.dummyfunction("""COMPUTED_VALUE"""),45030)</f>
        <v>45030</v>
      </c>
      <c r="C10" s="0" t="n">
        <f aca="false">IFERROR(__xludf.dummyfunction("""COMPUTED_VALUE"""),1)</f>
        <v>1</v>
      </c>
      <c r="D10" s="0" t="str">
        <f aca="false">IFERROR(__xludf.dummyfunction("""COMPUTED_VALUE"""),"AICI202212-3-3| V: Solicitar la inclusion de la actualizacion del mapa de riesgos del proceso de APH en el mapa de riesgos institucional (01/03/2023 - 30/03/2023)")</f>
        <v>AICI202212-3-3| V: Solicitar la inclusion de la actualizacion del mapa de riesgos del proceso de APH en el mapa de riesgos institucional (01/03/2023 - 30/03/2023)</v>
      </c>
      <c r="E10" s="0" t="str">
        <f aca="false">IFERROR(__xludf.dummyfunction("""COMPUTED_VALUE"""),"Se observa inclusión del servicio de urgencias en el mapa de riesgos institucional,el cual incluye la atención prehospitalaria")</f>
        <v>Se observa inclusión del servicio de urgencias en el mapa de riesgos institucional,el cual incluye la atención prehospitalaria</v>
      </c>
      <c r="F10" s="0" t="str">
        <f aca="false">IFERROR(__xludf.dummyfunction("""COMPUTED_VALUE"""),"Completo")</f>
        <v>Completo</v>
      </c>
      <c r="G10" s="0" t="str">
        <f aca="false">IFERROR(__xludf.dummyfunction("""COMPUTED_VALUE"""),"Sí")</f>
        <v>Sí</v>
      </c>
    </row>
    <row r="11" customFormat="false" ht="14.25" hidden="false" customHeight="false" outlineLevel="0" collapsed="false">
      <c r="A11" s="18" t="str">
        <f aca="false">IFERROR(MID(D11,1,FIND("|",D11)-1)&amp;"-"&amp;C11,"")</f>
        <v>AICI202212-4-1-1</v>
      </c>
      <c r="B11" s="19" t="n">
        <f aca="false">IFERROR(__xludf.dummyfunction("""COMPUTED_VALUE"""),45030)</f>
        <v>45030</v>
      </c>
      <c r="C11" s="0" t="n">
        <f aca="false">IFERROR(__xludf.dummyfunction("""COMPUTED_VALUE"""),1)</f>
        <v>1</v>
      </c>
      <c r="D11" s="0" t="str">
        <f aca="false">IFERROR(__xludf.dummyfunction("""COMPUTED_VALUE"""),"AICI202212-4-1| P: Realizar mesa de trabajo con facturacion y mercadeo para identificar fallas en el proceso de verificacion y facturacion de servicios en cuanto a … (01/01/2023 - 31/01/2023)")</f>
        <v>AICI202212-4-1| P: Realizar mesa de trabajo con facturacion y mercadeo para identificar fallas en el proceso de verificacion y facturacion de servicios en cuanto a … (01/01/2023 - 31/01/2023)</v>
      </c>
      <c r="E11" s="0" t="str">
        <f aca="false">IFERROR(__xludf.dummyfunction("""COMPUTED_VALUE"""),"Se evidencia acta del 10 de febrero con el servicio de facturación y mercadeo")</f>
        <v>Se evidencia acta del 10 de febrero con el servicio de facturación y mercadeo</v>
      </c>
      <c r="F11" s="0" t="str">
        <f aca="false">IFERROR(__xludf.dummyfunction("""COMPUTED_VALUE"""),"Completo")</f>
        <v>Completo</v>
      </c>
      <c r="G11" s="0" t="str">
        <f aca="false">IFERROR(__xludf.dummyfunction("""COMPUTED_VALUE"""),"Sí")</f>
        <v>Sí</v>
      </c>
    </row>
    <row r="12" customFormat="false" ht="14.25" hidden="false" customHeight="false" outlineLevel="0" collapsed="false">
      <c r="A12" s="18" t="str">
        <f aca="false">IFERROR(MID(D12,1,FIND("|",D12)-1)&amp;"-"&amp;C12,"")</f>
        <v>AICI202212-4-2-1</v>
      </c>
      <c r="B12" s="19" t="n">
        <f aca="false">IFERROR(__xludf.dummyfunction("""COMPUTED_VALUE"""),45030)</f>
        <v>45030</v>
      </c>
      <c r="C12" s="0" t="n">
        <f aca="false">IFERROR(__xludf.dummyfunction("""COMPUTED_VALUE"""),1)</f>
        <v>1</v>
      </c>
      <c r="D12" s="0" t="str">
        <f aca="false">IFERROR(__xludf.dummyfunction("""COMPUTED_VALUE"""),"AICI202212-4-2| H: Implementar las acciones de mejora definidas en la mesa de trabajo con facturacion y mercadeo (01/02/2023 - 28/02/2023)")</f>
        <v>AICI202212-4-2| H: Implementar las acciones de mejora definidas en la mesa de trabajo con facturacion y mercadeo (01/02/2023 - 28/02/2023)</v>
      </c>
      <c r="E12" s="0" t="str">
        <f aca="false">IFERROR(__xludf.dummyfunction("""COMPUTED_VALUE"""),"Se realiza seguimiento a los lineamientos con facturación")</f>
        <v>Se realiza seguimiento a los lineamientos con facturación</v>
      </c>
      <c r="F12" s="0" t="str">
        <f aca="false">IFERROR(__xludf.dummyfunction("""COMPUTED_VALUE"""),"Completo")</f>
        <v>Completo</v>
      </c>
      <c r="G12" s="0" t="str">
        <f aca="false">IFERROR(__xludf.dummyfunction("""COMPUTED_VALUE"""),"Sí")</f>
        <v>Sí</v>
      </c>
    </row>
    <row r="13" customFormat="false" ht="14.25" hidden="false" customHeight="false" outlineLevel="0" collapsed="false">
      <c r="A13" s="18" t="str">
        <f aca="false">IFERROR(MID(D13,1,FIND("|",D13)-1)&amp;"-"&amp;C13,"")</f>
        <v>AICI202212-4-3-1</v>
      </c>
      <c r="B13" s="19" t="n">
        <f aca="false">IFERROR(__xludf.dummyfunction("""COMPUTED_VALUE"""),45030)</f>
        <v>45030</v>
      </c>
      <c r="C13" s="0" t="n">
        <f aca="false">IFERROR(__xludf.dummyfunction("""COMPUTED_VALUE"""),1)</f>
        <v>1</v>
      </c>
      <c r="D13" s="0" t="str">
        <f aca="false">IFERROR(__xludf.dummyfunction("""COMPUTED_VALUE"""),"AICI202212-4-3| V: Verificar el 100% de la facturacion de servicios de la unidad de APH en cada periodo (01/03/2023 - 30/03/2023)")</f>
        <v>AICI202212-4-3| V: Verificar el 100% de la facturacion de servicios de la unidad de APH en cada periodo (01/03/2023 - 30/03/2023)</v>
      </c>
      <c r="E13" s="0" t="str">
        <f aca="false">IFERROR(__xludf.dummyfunction("""COMPUTED_VALUE"""),"Se Observa base de datos de seguimientos de facturación")</f>
        <v>Se Observa base de datos de seguimientos de facturación</v>
      </c>
      <c r="F13" s="0" t="str">
        <f aca="false">IFERROR(__xludf.dummyfunction("""COMPUTED_VALUE"""),"Completo")</f>
        <v>Completo</v>
      </c>
      <c r="G13" s="0" t="str">
        <f aca="false">IFERROR(__xludf.dummyfunction("""COMPUTED_VALUE"""),"Sí")</f>
        <v>Sí</v>
      </c>
    </row>
    <row r="14" customFormat="false" ht="14.25" hidden="false" customHeight="false" outlineLevel="0" collapsed="false">
      <c r="A14" s="18" t="str">
        <f aca="false">IFERROR(MID(D14,1,FIND("|",D14)-1)&amp;"-"&amp;C14,"")</f>
        <v>AICI202212-1-3-1</v>
      </c>
      <c r="B14" s="19" t="n">
        <f aca="false">IFERROR(__xludf.dummyfunction("""COMPUTED_VALUE"""),45033)</f>
        <v>45033</v>
      </c>
      <c r="C14" s="0" t="n">
        <f aca="false">IFERROR(__xludf.dummyfunction("""COMPUTED_VALUE"""),1)</f>
        <v>1</v>
      </c>
      <c r="D14" s="0" t="str">
        <f aca="false">IFERROR(__xludf.dummyfunction("""COMPUTED_VALUE"""),"AICI202212-1-3| V: Verificar la inclusion del subproceso de APH en el proceso misional de Gestion de Urgencais en el mapa de procesos Institucional (01/05/2023 - 31/05/2023)")</f>
        <v>AICI202212-1-3| V: Verificar la inclusion del subproceso de APH en el proceso misional de Gestion de Urgencais en el mapa de procesos Institucional (01/05/2023 - 31/05/2023)</v>
      </c>
      <c r="E14" s="0" t="str">
        <f aca="false">IFERROR(__xludf.dummyfunction("""COMPUTED_VALUE"""),"En la herramienta Armera se evidencia la inclusión del subproceso APH,en el servicio de urgencias")</f>
        <v>En la herramienta Armera se evidencia la inclusión del subproceso APH,en el servicio de urgencias</v>
      </c>
      <c r="F14" s="0" t="str">
        <f aca="false">IFERROR(__xludf.dummyfunction("""COMPUTED_VALUE"""),"Completo")</f>
        <v>Completo</v>
      </c>
      <c r="G14" s="0" t="str">
        <f aca="false">IFERROR(__xludf.dummyfunction("""COMPUTED_VALUE"""),"Sí")</f>
        <v>Sí</v>
      </c>
    </row>
    <row r="15" customFormat="false" ht="14.25" hidden="false" customHeight="false" outlineLevel="0" collapsed="false">
      <c r="A15" s="18" t="str">
        <f aca="false">IFERROR(MID(D15,1,FIND("|",D15)-1)&amp;"-"&amp;C15,"")</f>
        <v>AICI202212-1-4-2</v>
      </c>
      <c r="B15" s="19" t="n">
        <f aca="false">IFERROR(__xludf.dummyfunction("""COMPUTED_VALUE"""),45121)</f>
        <v>45121</v>
      </c>
      <c r="C15" s="0" t="n">
        <f aca="false">IFERROR(__xludf.dummyfunction("""COMPUTED_VALUE"""),2)</f>
        <v>2</v>
      </c>
      <c r="D15" s="0" t="str">
        <f aca="false">IFERROR(__xludf.dummyfunction("""COMPUTED_VALUE"""),"AICI202212-1-4| A: Socializar a los componentes de la organización la integracion de el subproceso APH en el proceso de Gestion de Urgencias (01/04/2023 - 30/04/2023)")</f>
        <v>AICI202212-1-4| A: Socializar a los componentes de la organización la integracion de el subproceso APH en el proceso de Gestion de Urgencias (01/04/2023 - 30/04/2023)</v>
      </c>
      <c r="E15" s="0" t="str">
        <f aca="false">IFERROR(__xludf.dummyfunction("""COMPUTED_VALUE"""),"No se  recibieron soportes referentes a esta acción,quedando atrasada")</f>
        <v>No se  recibieron soportes referentes a esta acción,quedando atrasada</v>
      </c>
      <c r="F15" s="0" t="str">
        <f aca="false">IFERROR(__xludf.dummyfunction("""COMPUTED_VALUE"""),"Atrasado")</f>
        <v>Atrasado</v>
      </c>
    </row>
    <row r="16" customFormat="false" ht="14.25" hidden="false" customHeight="false" outlineLevel="0" collapsed="false">
      <c r="A16" s="18" t="str">
        <f aca="false">IFERROR(MID(D16,1,FIND("|",D16)-1)&amp;"-"&amp;C16,"")</f>
        <v>AICI202212-2-3-2</v>
      </c>
      <c r="B16" s="19" t="n">
        <f aca="false">IFERROR(__xludf.dummyfunction("""COMPUTED_VALUE"""),45121)</f>
        <v>45121</v>
      </c>
      <c r="C16" s="0" t="n">
        <f aca="false">IFERROR(__xludf.dummyfunction("""COMPUTED_VALUE"""),2)</f>
        <v>2</v>
      </c>
      <c r="D16" s="0" t="str">
        <f aca="false">IFERROR(__xludf.dummyfunction("""COMPUTED_VALUE"""),"AICI202212-2-3| V: Sensibilizar y capacitar al 100% del personal de APH sobre el procedimiento de atencion prehospitalaria (01/04/2023 - 30/04/2023)")</f>
        <v>AICI202212-2-3| V: Sensibilizar y capacitar al 100% del personal de APH sobre el procedimiento de atencion prehospitalaria (01/04/2023 - 30/04/2023)</v>
      </c>
      <c r="E16" s="0" t="str">
        <f aca="false">IFERROR(__xludf.dummyfunction("""COMPUTED_VALUE"""),"No se recibieron soportes de esta acción en el plazo establecido,queda atrasada")</f>
        <v>No se recibieron soportes de esta acción en el plazo establecido,queda atrasada</v>
      </c>
      <c r="F16" s="0" t="str">
        <f aca="false">IFERROR(__xludf.dummyfunction("""COMPUTED_VALUE"""),"Atrasado")</f>
        <v>Atrasado</v>
      </c>
    </row>
    <row r="17" customFormat="false" ht="14.25" hidden="false" customHeight="false" outlineLevel="0" collapsed="false">
      <c r="A17" s="18" t="str">
        <f aca="false">IFERROR(MID(D17,1,FIND("|",D17)-1)&amp;"-"&amp;C17,"")</f>
        <v>AICI202212-2-4-2</v>
      </c>
      <c r="B17" s="19" t="n">
        <f aca="false">IFERROR(__xludf.dummyfunction("""COMPUTED_VALUE"""),45121)</f>
        <v>45121</v>
      </c>
      <c r="C17" s="0" t="n">
        <f aca="false">IFERROR(__xludf.dummyfunction("""COMPUTED_VALUE"""),2)</f>
        <v>2</v>
      </c>
      <c r="D17" s="0" t="str">
        <f aca="false">IFERROR(__xludf.dummyfunction("""COMPUTED_VALUE"""),"AICI202212-2-4| A: Evaluar el conocimiento de los colaboradores de APH sobre el procedimiento de atencion prehospitalaria y tomar acciones … (01/05/2023 - 15/05/2023)")</f>
        <v>AICI202212-2-4| A: Evaluar el conocimiento de los colaboradores de APH sobre el procedimiento de atencion prehospitalaria y tomar acciones … (01/05/2023 - 15/05/2023)</v>
      </c>
      <c r="E17" s="0" t="str">
        <f aca="false">IFERROR(__xludf.dummyfunction("""COMPUTED_VALUE"""),"No se recibieron soportes para esta acción en el plazo establecido,quedando atrasada")</f>
        <v>No se recibieron soportes para esta acción en el plazo establecido,quedando atrasada</v>
      </c>
      <c r="F17" s="0" t="str">
        <f aca="false">IFERROR(__xludf.dummyfunction("""COMPUTED_VALUE"""),"Atrasado")</f>
        <v>Atrasado</v>
      </c>
    </row>
    <row r="18" customFormat="false" ht="14.25" hidden="false" customHeight="false" outlineLevel="0" collapsed="false">
      <c r="A18" s="18" t="str">
        <f aca="false">IFERROR(MID(D18,1,FIND("|",D18)-1)&amp;"-"&amp;C18,"")</f>
        <v>AICI202212-3-2-2</v>
      </c>
      <c r="B18" s="19" t="n">
        <f aca="false">IFERROR(__xludf.dummyfunction("""COMPUTED_VALUE"""),45121)</f>
        <v>45121</v>
      </c>
      <c r="C18" s="0" t="n">
        <f aca="false">IFERROR(__xludf.dummyfunction("""COMPUTED_VALUE"""),2)</f>
        <v>2</v>
      </c>
      <c r="D18" s="0" t="str">
        <f aca="false">IFERROR(__xludf.dummyfunction("""COMPUTED_VALUE"""),"AICI202212-3-2| H: Actualizar el mapa de riesgo del proceso de atencion prehospitalaria en cuanto a riesgos de corrupcion (01/02/2023 - 28/02/2023)")</f>
        <v>AICI202212-3-2| H: Actualizar el mapa de riesgo del proceso de atencion prehospitalaria en cuanto a riesgos de corrupcion (01/02/2023 - 28/02/2023)</v>
      </c>
      <c r="E18" s="0" t="str">
        <f aca="false">IFERROR(__xludf.dummyfunction("""COMPUTED_VALUE"""),"Los soportes recibidos hacen referencia al mapa de riesgo del proceso pero no a los riesgos de corrupción,continúa atrasada")</f>
        <v>Los soportes recibidos hacen referencia al mapa de riesgo del proceso pero no a los riesgos de corrupción,continúa atrasada</v>
      </c>
      <c r="F18" s="0" t="str">
        <f aca="false">IFERROR(__xludf.dummyfunction("""COMPUTED_VALUE"""),"Atrasado")</f>
        <v>Atrasado</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1790</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AICI202211-1-1-1</v>
      </c>
      <c r="B4" s="19" t="n">
        <f aca="false">IFERROR(__xludf.dummyfunction("""COMPUTED_VALUE"""),45029)</f>
        <v>45029</v>
      </c>
      <c r="C4" s="0" t="n">
        <f aca="false">IFERROR(__xludf.dummyfunction("""COMPUTED_VALUE"""),1)</f>
        <v>1</v>
      </c>
      <c r="D4" s="0" t="str">
        <f aca="false">IFERROR(__xludf.dummyfunction("""COMPUTED_VALUE"""),"AICI202211-1-1| P: Realizar plan de trabajo conforme a los hallazgos generados en el informe de Control Interno (15/01/2023 - 30/01/2023)")</f>
        <v>AICI202211-1-1| P: Realizar plan de trabajo conforme a los hallazgos generados en el informe de Control Interno (15/01/2023 - 30/01/2023)</v>
      </c>
      <c r="E4" s="0" t="str">
        <f aca="false">IFERROR(__xludf.dummyfunction("""COMPUTED_VALUE"""),"Se evidencia a travez del documento Cronograma de atualización y mejora del ITA de acuerdo a los lineamientos legales incluida la resolución 1519 de 2020")</f>
        <v>Se evidencia a travez del documento Cronograma de atualización y mejora del ITA de acuerdo a los lineamientos legales incluida la resolución 1519 de 2020</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AICI202211-1-2-2</v>
      </c>
      <c r="B5" s="19" t="n">
        <f aca="false">IFERROR(__xludf.dummyfunction("""COMPUTED_VALUE"""),45114)</f>
        <v>45114</v>
      </c>
      <c r="C5" s="0" t="n">
        <f aca="false">IFERROR(__xludf.dummyfunction("""COMPUTED_VALUE"""),2)</f>
        <v>2</v>
      </c>
      <c r="D5" s="0" t="str">
        <f aca="false">IFERROR(__xludf.dummyfunction("""COMPUTED_VALUE"""),"AICI202211-1-2| H: Implementar el plan de trabajo (01/02/2023 - 15/08/2023)")</f>
        <v>AICI202211-1-2| H: Implementar el plan de trabajo (01/02/2023 - 15/08/2023)</v>
      </c>
      <c r="E5" s="0" t="str">
        <f aca="false">IFERROR(__xludf.dummyfunction("""COMPUTED_VALUE"""),"Esta acción fue reprogramada para el 15 de agosto de 2023, tal como se indica en el oficio 20231200019613 de junio 16 de 2023 enviado por la oficina de Desarrollo Institucional.")</f>
        <v>Esta acción fue reprogramada para el 15 de agosto de 2023, tal como se indica en el oficio 20231200019613 de junio 16 de 2023 enviado por la oficina de Desarrollo Institucional.</v>
      </c>
      <c r="F5" s="0" t="str">
        <f aca="false">IFERROR(__xludf.dummyfunction("""COMPUTED_VALUE"""),"En desarrollo")</f>
        <v>En desarrollo</v>
      </c>
    </row>
    <row r="6" customFormat="false" ht="14.25" hidden="false" customHeight="false" outlineLevel="0" collapsed="false">
      <c r="A6" s="18" t="str">
        <f aca="false">IFERROR(MID(D6,1,FIND("|",D6)-1)&amp;"-"&amp;C6,"")</f>
        <v>AICI202211-1-3-2</v>
      </c>
      <c r="B6" s="19" t="n">
        <f aca="false">IFERROR(__xludf.dummyfunction("""COMPUTED_VALUE"""),45114)</f>
        <v>45114</v>
      </c>
      <c r="C6" s="0" t="n">
        <f aca="false">IFERROR(__xludf.dummyfunction("""COMPUTED_VALUE"""),2)</f>
        <v>2</v>
      </c>
      <c r="D6" s="0" t="str">
        <f aca="false">IFERROR(__xludf.dummyfunction("""COMPUTED_VALUE"""),"AICI202211-1-3| V: Hacer seguimiento al plan de trabajo (01/02/2023 - 15/08/2023)")</f>
        <v>AICI202211-1-3| V: Hacer seguimiento al plan de trabajo (01/02/2023 - 15/08/2023)</v>
      </c>
      <c r="E6" s="0" t="str">
        <f aca="false">IFERROR(__xludf.dummyfunction("""COMPUTED_VALUE"""),"Esta acción fue reprogramada para el 15 de agosto de 2023, tal como se indica en el oficio 20231200019613 de junio 16 de 2023 enviado por la oficina de Desarrollo Institucional.")</f>
        <v>Esta acción fue reprogramada para el 15 de agosto de 2023, tal como se indica en el oficio 20231200019613 de junio 16 de 2023 enviado por la oficina de Desarrollo Institucional.</v>
      </c>
      <c r="F6" s="0" t="str">
        <f aca="false">IFERROR(__xludf.dummyfunction("""COMPUTED_VALUE"""),"En desarrollo")</f>
        <v>En desarrollo</v>
      </c>
    </row>
    <row r="7" customFormat="false" ht="14.25" hidden="false" customHeight="false" outlineLevel="0" collapsed="false">
      <c r="A7" s="18" t="str">
        <f aca="false">IFERROR(MID(D7,1,FIND("|",D7)-1)&amp;"-"&amp;C7,"")</f>
        <v>AICI202211-1-4-2</v>
      </c>
      <c r="B7" s="19" t="n">
        <f aca="false">IFERROR(__xludf.dummyfunction("""COMPUTED_VALUE"""),45114)</f>
        <v>45114</v>
      </c>
      <c r="C7" s="0" t="n">
        <f aca="false">IFERROR(__xludf.dummyfunction("""COMPUTED_VALUE"""),2)</f>
        <v>2</v>
      </c>
      <c r="D7" s="0" t="str">
        <f aca="false">IFERROR(__xludf.dummyfunction("""COMPUTED_VALUE"""),"AICI202211-1-4| A: Identificar oportunidades de mejora del plan de trabajo (01/03/2023 - 15/08/2023)")</f>
        <v>AICI202211-1-4| A: Identificar oportunidades de mejora del plan de trabajo (01/03/2023 - 15/08/2023)</v>
      </c>
      <c r="E7" s="0" t="str">
        <f aca="false">IFERROR(__xludf.dummyfunction("""COMPUTED_VALUE"""),"Esta acción fue reprogramada para el 15 de agosto de 2023, tal como se indica en el oficio 20231200019613 de junio 16 de 2023 enviado por la oficina de Desarrollo Institucional.")</f>
        <v>Esta acción fue reprogramada para el 15 de agosto de 2023, tal como se indica en el oficio 20231200019613 de junio 16 de 2023 enviado por la oficina de Desarrollo Institucional.</v>
      </c>
      <c r="F7" s="0" t="str">
        <f aca="false">IFERROR(__xludf.dummyfunction("""COMPUTED_VALUE"""),"En desarrollo")</f>
        <v>En desarrollo</v>
      </c>
    </row>
    <row r="8" customFormat="false" ht="14.25" hidden="false" customHeight="false" outlineLevel="0" collapsed="false">
      <c r="A8" s="18" t="str">
        <f aca="false">IFERROR(MID(D8,1,FIND("|",D8)-1)&amp;"-"&amp;C8,"")</f>
        <v/>
      </c>
    </row>
    <row r="9" customFormat="false" ht="14.25" hidden="false" customHeight="false" outlineLevel="0" collapsed="false">
      <c r="A9" s="18" t="str">
        <f aca="false">IFERROR(MID(D9,1,FIND("|",D9)-1)&amp;"-"&amp;C9,"")</f>
        <v/>
      </c>
    </row>
    <row r="10" customFormat="false" ht="14.25" hidden="false" customHeight="false" outlineLevel="0" collapsed="false">
      <c r="A10" s="18" t="str">
        <f aca="false">IFERROR(MID(D10,1,FIND("|",D10)-1)&amp;"-"&amp;C10,"")</f>
        <v/>
      </c>
    </row>
    <row r="11" customFormat="false" ht="14.25" hidden="false" customHeight="false" outlineLevel="0" collapsed="false">
      <c r="A11" s="18" t="str">
        <f aca="false">IFERROR(MID(D11,1,FIND("|",D11)-1)&amp;"-"&amp;C11,"")</f>
        <v/>
      </c>
    </row>
    <row r="12" customFormat="false" ht="14.25" hidden="false" customHeight="false" outlineLevel="0" collapsed="false">
      <c r="A12" s="18" t="str">
        <f aca="false">IFERROR(MID(D12,1,FIND("|",D12)-1)&amp;"-"&amp;C12,"")</f>
        <v/>
      </c>
    </row>
    <row r="13" customFormat="false" ht="14.25" hidden="false" customHeight="false" outlineLevel="0" collapsed="false">
      <c r="A13" s="18" t="str">
        <f aca="false">IFERROR(MID(D13,1,FIND("|",D13)-1)&amp;"-"&amp;C13,"")</f>
        <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1791</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AICI202210-1-1-1</v>
      </c>
      <c r="B4" s="19" t="n">
        <f aca="false">IFERROR(__xludf.dummyfunction("""COMPUTED_VALUE"""),44936)</f>
        <v>44936</v>
      </c>
      <c r="C4" s="0" t="n">
        <f aca="false">IFERROR(__xludf.dummyfunction("""COMPUTED_VALUE"""),1)</f>
        <v>1</v>
      </c>
      <c r="D4" s="0" t="str">
        <f aca="false">IFERROR(__xludf.dummyfunction("""COMPUTED_VALUE"""),"AICI202210-1-1| P: Realizar proceso para la contratación de personal capacitado que apoye la implementación de las políticas de Gobierno Digital ... (01/07/2022 - 30/11/2022)")</f>
        <v>AICI202210-1-1| P: Realizar proceso para la contratación de personal capacitado que apoye la implementación de las políticas de Gobierno Digital ... (01/07/2022 - 30/11/2022)</v>
      </c>
      <c r="E4" s="0" t="str">
        <f aca="false">IFERROR(__xludf.dummyfunction("""COMPUTED_VALUE"""),"Se evidencia la contratación de una ingeniera de industrial con especialización en gerencia de proyectos para apoyar la documentación e implementación del la Política de Gobierno Digital, MIPG, Trasparencia Contrato No. 5670 - 2022
Se evidencia la contrat"&amp;"ación de una ingeniera de sistemas con especialización en Seguridad Informática que desempeña el rol de Oficial de Seguridad OPS No. 7639 -2022")</f>
        <v>Se evidencia la contratación de una ingeniera de industrial con especialización en gerencia de proyectos para apoyar la documentación e implementación del la Política de Gobierno Digital, MIPG, Trasparencia Contrato No. 5670 - 2022
Se evidencia la contratación de una ingeniera de sistemas con especialización en Seguridad Informática que desempeña el rol de Oficial de Seguridad OPS No. 7639 -2022</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AICI202210-3-1-1</v>
      </c>
      <c r="B5" s="19" t="n">
        <f aca="false">IFERROR(__xludf.dummyfunction("""COMPUTED_VALUE"""),44936)</f>
        <v>44936</v>
      </c>
      <c r="C5" s="0" t="n">
        <f aca="false">IFERROR(__xludf.dummyfunction("""COMPUTED_VALUE"""),1)</f>
        <v>1</v>
      </c>
      <c r="D5" s="0" t="str">
        <f aca="false">IFERROR(__xludf.dummyfunction("""COMPUTED_VALUE"""),"AICI202210-3-1| P: Solicitar sensibilización a la oficina de desarrollo institucional, sobre la política de administración de riesgos y metodología .. (01/12/2022 - 31/12/2022)")</f>
        <v>AICI202210-3-1| P: Solicitar sensibilización a la oficina de desarrollo institucional, sobre la política de administración de riesgos y metodología .. (01/12/2022 - 31/12/2022)</v>
      </c>
      <c r="E5" s="0" t="str">
        <f aca="false">IFERROR(__xludf.dummyfunction("""COMPUTED_VALUE"""),"se evidencia asistencia a la jornada de actualización de riesgos institucionales de fecha 5/12/2022, impartida por Desarrollo Institucional. ")</f>
        <v>se evidencia asistencia a la jornada de actualización de riesgos institucionales de fecha 5/12/2022, impartida por Desarrollo Institucional. </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AICI202210-3-2-1</v>
      </c>
      <c r="B6" s="19" t="n">
        <f aca="false">IFERROR(__xludf.dummyfunction("""COMPUTED_VALUE"""),44936)</f>
        <v>44936</v>
      </c>
      <c r="C6" s="0" t="n">
        <f aca="false">IFERROR(__xludf.dummyfunction("""COMPUTED_VALUE"""),1)</f>
        <v>1</v>
      </c>
      <c r="D6" s="0" t="str">
        <f aca="false">IFERROR(__xludf.dummyfunction("""COMPUTED_VALUE"""),"AICI202210-3-2| H: Actualizar los riesgos de proceso de acuerdo a la metodología de riesgos definida por la entidad e identificar los riesgos de  ... (01/12/2022 - 31/12/2022)")</f>
        <v>AICI202210-3-2| H: Actualizar los riesgos de proceso de acuerdo a la metodología de riesgos definida por la entidad e identificar los riesgos de  ... (01/12/2022 - 31/12/2022)</v>
      </c>
      <c r="E6" s="0" t="str">
        <f aca="false">IFERROR(__xludf.dummyfunction("""COMPUTED_VALUE"""),"Se evidencia la caracterización de 3 riesgos de gestión y uno de corrupción del proceso de Gestión de la información y TICS.  La matriz de riesgos se encuentra consolidada por el proceso de desarrollo institucional.")</f>
        <v>Se evidencia la caracterización de 3 riesgos de gestión y uno de corrupción del proceso de Gestión de la información y TICS.  La matriz de riesgos se encuentra consolidada por el proceso de desarrollo institucional.</v>
      </c>
      <c r="F6" s="0" t="str">
        <f aca="false">IFERROR(__xludf.dummyfunction("""COMPUTED_VALUE"""),"Completo")</f>
        <v>Completo</v>
      </c>
      <c r="G6" s="0" t="str">
        <f aca="false">IFERROR(__xludf.dummyfunction("""COMPUTED_VALUE"""),"Sí")</f>
        <v>Sí</v>
      </c>
    </row>
    <row r="7" customFormat="false" ht="14.25" hidden="false" customHeight="false" outlineLevel="0" collapsed="false">
      <c r="A7" s="18" t="str">
        <f aca="false">IFERROR(MID(D7,1,FIND("|",D7)-1)&amp;"-"&amp;C7,"")</f>
        <v>AICI202210-5-1-1</v>
      </c>
      <c r="B7" s="19" t="n">
        <f aca="false">IFERROR(__xludf.dummyfunction("""COMPUTED_VALUE"""),44936)</f>
        <v>44936</v>
      </c>
      <c r="C7" s="0" t="n">
        <f aca="false">IFERROR(__xludf.dummyfunction("""COMPUTED_VALUE"""),1)</f>
        <v>1</v>
      </c>
      <c r="D7" s="0" t="str">
        <f aca="false">IFERROR(__xludf.dummyfunction("""COMPUTED_VALUE"""),"AICI202210-5-1| P: Realizar proceso para la contratación de personal técnico para el fortalecimiento de gestión y mantenimiento. (01/10/2022 - 31/12/2022)")</f>
        <v>AICI202210-5-1| P: Realizar proceso para la contratación de personal técnico para el fortalecimiento de gestión y mantenimiento. (01/10/2022 - 31/12/2022)</v>
      </c>
      <c r="E7" s="0" t="str">
        <f aca="false">IFERROR(__xludf.dummyfunction("""COMPUTED_VALUE"""),"Se realizo la contratación de tres técnicos de sistemas para el apoyo al proceso de mantenimiento de equipos de computo: OPS No. 6991, 7123 y 7901de 2022")</f>
        <v>Se realizo la contratación de tres técnicos de sistemas para el apoyo al proceso de mantenimiento de equipos de computo: OPS No. 6991, 7123 y 7901de 2022</v>
      </c>
      <c r="F7" s="0" t="str">
        <f aca="false">IFERROR(__xludf.dummyfunction("""COMPUTED_VALUE"""),"Completo")</f>
        <v>Completo</v>
      </c>
      <c r="G7" s="0" t="str">
        <f aca="false">IFERROR(__xludf.dummyfunction("""COMPUTED_VALUE"""),"Sí")</f>
        <v>Sí</v>
      </c>
    </row>
    <row r="8" customFormat="false" ht="14.25" hidden="false" customHeight="false" outlineLevel="0" collapsed="false">
      <c r="A8" s="18" t="str">
        <f aca="false">IFERROR(MID(D8,1,FIND("|",D8)-1)&amp;"-"&amp;C8,"")</f>
        <v>AICI202210-7-2-1</v>
      </c>
      <c r="B8" s="19" t="n">
        <f aca="false">IFERROR(__xludf.dummyfunction("""COMPUTED_VALUE"""),44936)</f>
        <v>44936</v>
      </c>
      <c r="C8" s="0" t="n">
        <f aca="false">IFERROR(__xludf.dummyfunction("""COMPUTED_VALUE"""),1)</f>
        <v>1</v>
      </c>
      <c r="D8" s="0" t="str">
        <f aca="false">IFERROR(__xludf.dummyfunction("""COMPUTED_VALUE"""),"AICI202210-7-2| P: Realizar Plan de acción de MIPG en conjunto con desarrollo institucional de la política de Gobierno Digital y Seguridad Digital (01/04/2022 - 31/05/2022)")</f>
        <v>AICI202210-7-2| P: Realizar Plan de acción de MIPG en conjunto con desarrollo institucional de la política de Gobierno Digital y Seguridad Digital (01/04/2022 - 31/05/2022)</v>
      </c>
      <c r="E8" s="0" t="str">
        <f aca="false">IFERROR(__xludf.dummyfunction("""COMPUTED_VALUE"""),"Se evidencia el plan de acción MIPG 2022 para las políticas de: (1) Gobierno Digital con 10 acciones  y (2) Seguridad y Privacidad de la Información con (7) acciones, con cierre total y oportuno.")</f>
        <v>Se evidencia el plan de acción MIPG 2022 para las políticas de: (1) Gobierno Digital con 10 acciones  y (2) Seguridad y Privacidad de la Información con (7) acciones, con cierre total y oportuno.</v>
      </c>
      <c r="F8" s="0" t="str">
        <f aca="false">IFERROR(__xludf.dummyfunction("""COMPUTED_VALUE"""),"Completo")</f>
        <v>Completo</v>
      </c>
      <c r="G8" s="0" t="str">
        <f aca="false">IFERROR(__xludf.dummyfunction("""COMPUTED_VALUE"""),"Sí")</f>
        <v>Sí</v>
      </c>
    </row>
    <row r="9" customFormat="false" ht="14.25" hidden="false" customHeight="false" outlineLevel="0" collapsed="false">
      <c r="A9" s="18" t="str">
        <f aca="false">IFERROR(MID(D9,1,FIND("|",D9)-1)&amp;"-"&amp;C9,"")</f>
        <v>AICI202210-7-3-1</v>
      </c>
      <c r="B9" s="19" t="n">
        <f aca="false">IFERROR(__xludf.dummyfunction("""COMPUTED_VALUE"""),44936)</f>
        <v>44936</v>
      </c>
      <c r="C9" s="0" t="n">
        <f aca="false">IFERROR(__xludf.dummyfunction("""COMPUTED_VALUE"""),1)</f>
        <v>1</v>
      </c>
      <c r="D9" s="0" t="str">
        <f aca="false">IFERROR(__xludf.dummyfunction("""COMPUTED_VALUE"""),"AICI202210-7-3| H: Ejecutar Plan de acción de MIPG de acuerdo a las acciones aportando las respectivas evidencias. (01/06/2022 - 31/12/2022)")</f>
        <v>AICI202210-7-3| H: Ejecutar Plan de acción de MIPG de acuerdo a las acciones aportando las respectivas evidencias. (01/06/2022 - 31/12/2022)</v>
      </c>
      <c r="E9" s="0" t="str">
        <f aca="false">IFERROR(__xludf.dummyfunction("""COMPUTED_VALUE"""),"En evaluación realizada por Desarrollo Institucional se evidencia el cumplimiento oportuno al 100% de las acciones propuestas.")</f>
        <v>En evaluación realizada por Desarrollo Institucional se evidencia el cumplimiento oportuno al 100% de las acciones propuestas.</v>
      </c>
      <c r="F9" s="0" t="str">
        <f aca="false">IFERROR(__xludf.dummyfunction("""COMPUTED_VALUE"""),"Completo")</f>
        <v>Completo</v>
      </c>
      <c r="G9" s="0" t="str">
        <f aca="false">IFERROR(__xludf.dummyfunction("""COMPUTED_VALUE"""),"Sí")</f>
        <v>Sí</v>
      </c>
    </row>
    <row r="10" customFormat="false" ht="14.25" hidden="false" customHeight="false" outlineLevel="0" collapsed="false">
      <c r="A10" s="18" t="str">
        <f aca="false">IFERROR(MID(D10,1,FIND("|",D10)-1)&amp;"-"&amp;C10,"")</f>
        <v>AICI202210-7-4-1</v>
      </c>
      <c r="B10" s="19" t="n">
        <f aca="false">IFERROR(__xludf.dummyfunction("""COMPUTED_VALUE"""),44936)</f>
        <v>44936</v>
      </c>
      <c r="C10" s="0" t="n">
        <f aca="false">IFERROR(__xludf.dummyfunction("""COMPUTED_VALUE"""),1)</f>
        <v>1</v>
      </c>
      <c r="D10" s="0" t="str">
        <f aca="false">IFERROR(__xludf.dummyfunction("""COMPUTED_VALUE"""),"AICI202210-7-4| V: Seguimiento de las actividades realizadas y la verificación de las evidencias conforme a las acciones (01/07/2022 - 31/12/2022)")</f>
        <v>AICI202210-7-4| V: Seguimiento de las actividades realizadas y la verificación de las evidencias conforme a las acciones (01/07/2022 - 31/12/2022)</v>
      </c>
      <c r="E10" s="0" t="str">
        <f aca="false">IFERROR(__xludf.dummyfunction("""COMPUTED_VALUE"""),"En acta de seguimiento avance a productos MIPG, se evidencia el cierre de las acciones con cada uno de los soportes de la acción.")</f>
        <v>En acta de seguimiento avance a productos MIPG, se evidencia el cierre de las acciones con cada uno de los soportes de la acción.</v>
      </c>
      <c r="F10" s="0" t="str">
        <f aca="false">IFERROR(__xludf.dummyfunction("""COMPUTED_VALUE"""),"Completo")</f>
        <v>Completo</v>
      </c>
      <c r="G10" s="0" t="str">
        <f aca="false">IFERROR(__xludf.dummyfunction("""COMPUTED_VALUE"""),"Sí")</f>
        <v>Sí</v>
      </c>
    </row>
    <row r="11" customFormat="false" ht="14.25" hidden="false" customHeight="false" outlineLevel="0" collapsed="false">
      <c r="A11" s="18" t="str">
        <f aca="false">IFERROR(MID(D11,1,FIND("|",D11)-1)&amp;"-"&amp;C11,"")</f>
        <v>AICI202210-7-5-1</v>
      </c>
      <c r="B11" s="19" t="n">
        <f aca="false">IFERROR(__xludf.dummyfunction("""COMPUTED_VALUE"""),44936)</f>
        <v>44936</v>
      </c>
      <c r="C11" s="0" t="n">
        <f aca="false">IFERROR(__xludf.dummyfunction("""COMPUTED_VALUE"""),1)</f>
        <v>1</v>
      </c>
      <c r="D11" s="0" t="str">
        <f aca="false">IFERROR(__xludf.dummyfunction("""COMPUTED_VALUE"""),"AICI202210-7-5| A: Identificar oportunidades de mejora e implementarlas (01/07/2022 - 31/12/2022)")</f>
        <v>AICI202210-7-5| A: Identificar oportunidades de mejora e implementarlas (01/07/2022 - 31/12/2022)</v>
      </c>
      <c r="E11" s="0" t="str">
        <f aca="false">IFERROR(__xludf.dummyfunction("""COMPUTED_VALUE"""),"Se evidencia el seguimiento por parte de la segunda línea de defensa sobre las acciones definidas en el plan de trabajo, al igual que los compromisos del plan. ")</f>
        <v>Se evidencia el seguimiento por parte de la segunda línea de defensa sobre las acciones definidas en el plan de trabajo, al igual que los compromisos del plan. </v>
      </c>
      <c r="F11" s="0" t="str">
        <f aca="false">IFERROR(__xludf.dummyfunction("""COMPUTED_VALUE"""),"Completo")</f>
        <v>Completo</v>
      </c>
      <c r="G11" s="0" t="str">
        <f aca="false">IFERROR(__xludf.dummyfunction("""COMPUTED_VALUE"""),"Sí")</f>
        <v>Sí</v>
      </c>
    </row>
    <row r="12" customFormat="false" ht="14.25" hidden="false" customHeight="false" outlineLevel="0" collapsed="false">
      <c r="A12" s="18" t="str">
        <f aca="false">IFERROR(MID(D12,1,FIND("|",D12)-1)&amp;"-"&amp;C12,"")</f>
        <v>AICI202210-9-1-1</v>
      </c>
      <c r="B12" s="19" t="n">
        <f aca="false">IFERROR(__xludf.dummyfunction("""COMPUTED_VALUE"""),44936)</f>
        <v>44936</v>
      </c>
      <c r="C12" s="0" t="n">
        <f aca="false">IFERROR(__xludf.dummyfunction("""COMPUTED_VALUE"""),1)</f>
        <v>1</v>
      </c>
      <c r="D12" s="0" t="str">
        <f aca="false">IFERROR(__xludf.dummyfunction("""COMPUTED_VALUE"""),"AICI202210-9-1| P: Elaborar Plan Anual de Adquisiciones de la oficina de gestión de información y TICs, para adquisición de bienes y servicios ... (01/11/2022 - 31/12/2022)")</f>
        <v>AICI202210-9-1| P: Elaborar Plan Anual de Adquisiciones de la oficina de gestión de información y TICs, para adquisición de bienes y servicios ... (01/11/2022 - 31/12/2022)</v>
      </c>
      <c r="E12" s="0" t="str">
        <f aca="false">IFERROR(__xludf.dummyfunction("""COMPUTED_VALUE"""),"Se evidencia el cumplimiento por parte de Sistemas de Información y Tics en la elaboración del Plan de adquisiciones para la vigencia 2023, por un valor de 10.115.695.024. ")</f>
        <v>Se evidencia el cumplimiento por parte de Sistemas de Información y Tics en la elaboración del Plan de adquisiciones para la vigencia 2023, por un valor de 10.115.695.024. </v>
      </c>
      <c r="F12" s="0" t="str">
        <f aca="false">IFERROR(__xludf.dummyfunction("""COMPUTED_VALUE"""),"Completo")</f>
        <v>Completo</v>
      </c>
      <c r="G12" s="0" t="str">
        <f aca="false">IFERROR(__xludf.dummyfunction("""COMPUTED_VALUE"""),"Sí")</f>
        <v>Sí</v>
      </c>
    </row>
    <row r="13" customFormat="false" ht="14.25" hidden="false" customHeight="false" outlineLevel="0" collapsed="false">
      <c r="A13" s="18" t="str">
        <f aca="false">IFERROR(MID(D13,1,FIND("|",D13)-1)&amp;"-"&amp;C13,"")</f>
        <v>AICI202210-1-2-2</v>
      </c>
      <c r="B13" s="19" t="n">
        <f aca="false">IFERROR(__xludf.dummyfunction("""COMPUTED_VALUE"""),45029)</f>
        <v>45029</v>
      </c>
      <c r="C13" s="0" t="n">
        <f aca="false">IFERROR(__xludf.dummyfunction("""COMPUTED_VALUE"""),2)</f>
        <v>2</v>
      </c>
      <c r="D13" s="0" t="str">
        <f aca="false">IFERROR(__xludf.dummyfunction("""COMPUTED_VALUE"""),"AICI202210-1-2| P: Realizar plan de trabajo para la elaboración y actualización de la documentación con los lideres de los procedimientos del ... (01/01/2023 - 31/01/2023)")</f>
        <v>AICI202210-1-2| P: Realizar plan de trabajo para la elaboración y actualización de la documentación con los lideres de los procedimientos del ... (01/01/2023 - 31/01/2023)</v>
      </c>
      <c r="E13" s="0" t="str">
        <f aca="false">IFERROR(__xludf.dummyfunction("""COMPUTED_VALUE"""),"Se evidencia el documento en hoja de calculo con la programación de actualización de la documentación del proceso de Gestión Tics.  Los procedimientos de gestión de la información fueron etregados al proceso de desarrollo institucuobnal junto con el perso"&amp;"nal y denás documentación que soporta el proceso. ")</f>
        <v>Se evidencia el documento en hoja de calculo con la programación de actualización de la documentación del proceso de Gestión Tics.  Los procedimientos de gestión de la información fueron etregados al proceso de desarrollo institucuobnal junto con el personal y denás documentación que soporta el proceso. </v>
      </c>
      <c r="F13" s="0" t="str">
        <f aca="false">IFERROR(__xludf.dummyfunction("""COMPUTED_VALUE"""),"Completo")</f>
        <v>Completo</v>
      </c>
      <c r="G13" s="0" t="str">
        <f aca="false">IFERROR(__xludf.dummyfunction("""COMPUTED_VALUE"""),"Sí")</f>
        <v>Sí</v>
      </c>
    </row>
    <row r="14" customFormat="false" ht="14.25" hidden="false" customHeight="false" outlineLevel="0" collapsed="false">
      <c r="A14" s="18" t="str">
        <f aca="false">IFERROR(MID(D14,1,FIND("|",D14)-1)&amp;"-"&amp;C14,"")</f>
        <v>AICI202210-2-1-2</v>
      </c>
      <c r="B14" s="19" t="n">
        <f aca="false">IFERROR(__xludf.dummyfunction("""COMPUTED_VALUE"""),45029)</f>
        <v>45029</v>
      </c>
      <c r="C14" s="0" t="n">
        <f aca="false">IFERROR(__xludf.dummyfunction("""COMPUTED_VALUE"""),2)</f>
        <v>2</v>
      </c>
      <c r="D14" s="0" t="str">
        <f aca="false">IFERROR(__xludf.dummyfunction("""COMPUTED_VALUE"""),"AICI202210-2-1| P: Solicitar sencibilización al área de Contratación sobre el manual de supervisión de contratos y manejo de la plataforma SECOP ... (01/01/2023 - 28/02/2023)")</f>
        <v>AICI202210-2-1| P: Solicitar sencibilización al área de Contratación sobre el manual de supervisión de contratos y manejo de la plataforma SECOP ... (01/01/2023 - 28/02/2023)</v>
      </c>
      <c r="E14" s="0" t="str">
        <f aca="false">IFERROR(__xludf.dummyfunction("""COMPUTED_VALUE"""),"No se evidencia la ejecución de la actividad")</f>
        <v>No se evidencia la ejecución de la actividad</v>
      </c>
      <c r="F14" s="0" t="str">
        <f aca="false">IFERROR(__xludf.dummyfunction("""COMPUTED_VALUE"""),"Atrasado")</f>
        <v>Atrasado</v>
      </c>
    </row>
    <row r="15" customFormat="false" ht="14.25" hidden="false" customHeight="false" outlineLevel="0" collapsed="false">
      <c r="A15" s="18" t="str">
        <f aca="false">IFERROR(MID(D15,1,FIND("|",D15)-1)&amp;"-"&amp;C15,"")</f>
        <v>AICI202210-7-1-2</v>
      </c>
      <c r="B15" s="19" t="n">
        <f aca="false">IFERROR(__xludf.dummyfunction("""COMPUTED_VALUE"""),45029)</f>
        <v>45029</v>
      </c>
      <c r="C15" s="0" t="n">
        <f aca="false">IFERROR(__xludf.dummyfunction("""COMPUTED_VALUE"""),2)</f>
        <v>2</v>
      </c>
      <c r="D15" s="0" t="str">
        <f aca="false">IFERROR(__xludf.dummyfunction("""COMPUTED_VALUE"""),"AICI202210-7-1| P: Solicitar Sensibilización del Modelo de Integración de Planeación y Gestión  - MIPG por  la oficina Asesora de Desarrollo ... (01/02/2023 - 31/03/2023)")</f>
        <v>AICI202210-7-1| P: Solicitar Sensibilización del Modelo de Integración de Planeación y Gestión  - MIPG por  la oficina Asesora de Desarrollo ... (01/02/2023 - 31/03/2023)</v>
      </c>
      <c r="E15" s="0" t="str">
        <f aca="false">IFERROR(__xludf.dummyfunction("""COMPUTED_VALUE"""),"En reuniones de fecha 25/01/2023 y 02/02/2023, se evidencia la participación, revisión y diligenciamiento de los autodiagnósticos de las políticas de Gobierno y Seguridad Digital.  Como resultado de la actividad se presenta los puntajes actualizados de di"&amp;"chas politicas: Gobierno Digital (84.8) y Seguridad Digital (88.9).")</f>
        <v>En reuniones de fecha 25/01/2023 y 02/02/2023, se evidencia la participación, revisión y diligenciamiento de los autodiagnósticos de las políticas de Gobierno y Seguridad Digital.  Como resultado de la actividad se presenta los puntajes actualizados de dichas politicas: Gobierno Digital (84.8) y Seguridad Digital (88.9).</v>
      </c>
      <c r="F15" s="0" t="str">
        <f aca="false">IFERROR(__xludf.dummyfunction("""COMPUTED_VALUE"""),"Completo")</f>
        <v>Completo</v>
      </c>
      <c r="G15" s="0" t="str">
        <f aca="false">IFERROR(__xludf.dummyfunction("""COMPUTED_VALUE"""),"Sí")</f>
        <v>Sí</v>
      </c>
    </row>
    <row r="16" customFormat="false" ht="14.25" hidden="false" customHeight="false" outlineLevel="0" collapsed="false">
      <c r="A16" s="18" t="str">
        <f aca="false">IFERROR(MID(D16,1,FIND("|",D16)-1)&amp;"-"&amp;C16,"")</f>
        <v>AICI202210-8-1-2</v>
      </c>
      <c r="B16" s="19" t="n">
        <f aca="false">IFERROR(__xludf.dummyfunction("""COMPUTED_VALUE"""),45030)</f>
        <v>45030</v>
      </c>
      <c r="C16" s="0" t="n">
        <f aca="false">IFERROR(__xludf.dummyfunction("""COMPUTED_VALUE"""),2)</f>
        <v>2</v>
      </c>
      <c r="D16" s="0" t="str">
        <f aca="false">IFERROR(__xludf.dummyfunction("""COMPUTED_VALUE"""),"AICI202210-8-1| P: Actualizar el Plan de contingencia de los sistemas de información  que soportan los procesos internos de la institución para ... (01/02/2023 - 31/03/2023)")</f>
        <v>AICI202210-8-1| P: Actualizar el Plan de contingencia de los sistemas de información  que soportan los procesos internos de la institución para ... (01/02/2023 - 31/03/2023)</v>
      </c>
      <c r="E16" s="0" t="str">
        <f aca="false">IFERROR(__xludf.dummyfunction("""COMPUTED_VALUE"""),"El documento AP-GI-PL-12-02 Se encuentra en revisión y modificación, pendiente establecer el análisis de riesgos de cada uno de los sistemas contemplados en el alcance del documento.   Se estima tener el documento oficializado para el mes de mayo de 2023."&amp;" ")</f>
        <v>El documento AP-GI-PL-12-02 Se encuentra en revisión y modificación, pendiente establecer el análisis de riesgos de cada uno de los sistemas contemplados en el alcance del documento.   Se estima tener el documento oficializado para el mes de mayo de 2023. </v>
      </c>
      <c r="F16" s="0" t="str">
        <f aca="false">IFERROR(__xludf.dummyfunction("""COMPUTED_VALUE"""),"Atrasado")</f>
        <v>Atrasado</v>
      </c>
    </row>
    <row r="17" customFormat="false" ht="14.25" hidden="false" customHeight="false" outlineLevel="0" collapsed="false">
      <c r="A17" s="18" t="str">
        <f aca="false">IFERROR(MID(D17,1,FIND("|",D17)-1)&amp;"-"&amp;C17,"")</f>
        <v>AICI202210-8-5-2</v>
      </c>
      <c r="B17" s="19" t="n">
        <f aca="false">IFERROR(__xludf.dummyfunction("""COMPUTED_VALUE"""),45030)</f>
        <v>45030</v>
      </c>
      <c r="C17" s="0" t="n">
        <f aca="false">IFERROR(__xludf.dummyfunction("""COMPUTED_VALUE"""),2)</f>
        <v>2</v>
      </c>
      <c r="D17" s="0" t="str">
        <f aca="false">IFERROR(__xludf.dummyfunction("""COMPUTED_VALUE"""),"AICI202210-8-5| H: Contratar mantenimiento y soporte al sistema de información Orfeo de la Subred Norte. (01/12/2022 - 31/01/2023)")</f>
        <v>AICI202210-8-5| H: Contratar mantenimiento y soporte al sistema de información Orfeo de la Subred Norte. (01/12/2022 - 31/01/2023)</v>
      </c>
      <c r="E17" s="0" t="str">
        <f aca="false">IFERROR(__xludf.dummyfunction("""COMPUTED_VALUE"""),"A través del contrato No. 8057/2022 se realizo la contratación para el soporte del sistema de información ORFEO.  No obstante a través de recursos de cooperación con la SDS, para la adquisición , implementación y puesta en producción del sistema de gestió"&amp;"n de documentos electrónicos de archivo (SGDEA) - AGILSALUD.")</f>
        <v>A través del contrato No. 8057/2022 se realizo la contratación para el soporte del sistema de información ORFEO.  No obstante a través de recursos de cooperación con la SDS, para la adquisición , implementación y puesta en producción del sistema de gestión de documentos electrónicos de archivo (SGDEA) - AGILSALUD.</v>
      </c>
      <c r="F17" s="0" t="str">
        <f aca="false">IFERROR(__xludf.dummyfunction("""COMPUTED_VALUE"""),"Completo")</f>
        <v>Completo</v>
      </c>
      <c r="G17" s="0" t="str">
        <f aca="false">IFERROR(__xludf.dummyfunction("""COMPUTED_VALUE"""),"Sí")</f>
        <v>Sí</v>
      </c>
    </row>
    <row r="18" customFormat="false" ht="14.25" hidden="false" customHeight="false" outlineLevel="0" collapsed="false">
      <c r="A18" s="18" t="str">
        <f aca="false">IFERROR(MID(D18,1,FIND("|",D18)-1)&amp;"-"&amp;C18,"")</f>
        <v>AICI202210-9-2-2</v>
      </c>
      <c r="B18" s="19" t="n">
        <f aca="false">IFERROR(__xludf.dummyfunction("""COMPUTED_VALUE"""),45030)</f>
        <v>45030</v>
      </c>
      <c r="C18" s="0" t="n">
        <f aca="false">IFERROR(__xludf.dummyfunction("""COMPUTED_VALUE"""),2)</f>
        <v>2</v>
      </c>
      <c r="D18" s="0" t="str">
        <f aca="false">IFERROR(__xludf.dummyfunction("""COMPUTED_VALUE"""),"AICI202210-9-2| H: Generar  un tablero de control para realizar seguimiento al estado de los contratos y determinar fechas para dar inicio a ... (01/01/2023 - 28/02/2023)")</f>
        <v>AICI202210-9-2| H: Generar  un tablero de control para realizar seguimiento al estado de los contratos y determinar fechas para dar inicio a ... (01/01/2023 - 28/02/2023)</v>
      </c>
      <c r="E18" s="0" t="str">
        <f aca="false">IFERROR(__xludf.dummyfunction("""COMPUTED_VALUE"""),"No se evidencia la ejecución de la actividad planteada en la acción de mejora.")</f>
        <v>No se evidencia la ejecución de la actividad planteada en la acción de mejora.</v>
      </c>
      <c r="F18" s="0" t="str">
        <f aca="false">IFERROR(__xludf.dummyfunction("""COMPUTED_VALUE"""),"Atrasado")</f>
        <v>Atrasado</v>
      </c>
    </row>
    <row r="19" customFormat="false" ht="14.25" hidden="false" customHeight="false" outlineLevel="0" collapsed="false">
      <c r="A19" s="18" t="str">
        <f aca="false">IFERROR(MID(D19,1,FIND("|",D19)-1)&amp;"-"&amp;C19,"")</f>
        <v>AICI202210-10-1-2</v>
      </c>
      <c r="B19" s="19" t="n">
        <f aca="false">IFERROR(__xludf.dummyfunction("""COMPUTED_VALUE"""),45030)</f>
        <v>45030</v>
      </c>
      <c r="C19" s="0" t="n">
        <f aca="false">IFERROR(__xludf.dummyfunction("""COMPUTED_VALUE"""),2)</f>
        <v>2</v>
      </c>
      <c r="D19" s="0" t="str">
        <f aca="false">IFERROR(__xludf.dummyfunction("""COMPUTED_VALUE"""),"AICI202210-10-1| P: Formular politica de continuidad del negocio de acuerdo a los objetivos estratégicos de la entidad. (01/02/2023 - 31/03/2023)")</f>
        <v>AICI202210-10-1| P: Formular politica de continuidad del negocio de acuerdo a los objetivos estratégicos de la entidad. (01/02/2023 - 31/03/2023)</v>
      </c>
      <c r="E19" s="0" t="str">
        <f aca="false">IFERROR(__xludf.dummyfunction("""COMPUTED_VALUE"""),"No se evidencia la ejecución de la acción planteada.")</f>
        <v>No se evidencia la ejecución de la acción planteada.</v>
      </c>
      <c r="F19" s="0" t="str">
        <f aca="false">IFERROR(__xludf.dummyfunction("""COMPUTED_VALUE"""),"Atrasado")</f>
        <v>Atrasado</v>
      </c>
    </row>
    <row r="20" customFormat="false" ht="14.25" hidden="false" customHeight="false" outlineLevel="0" collapsed="false">
      <c r="A20" s="18" t="str">
        <f aca="false">IFERROR(MID(D20,1,FIND("|",D20)-1)&amp;"-"&amp;C20,"")</f>
        <v>AICI202210-10-2-2</v>
      </c>
      <c r="B20" s="19" t="n">
        <f aca="false">IFERROR(__xludf.dummyfunction("""COMPUTED_VALUE"""),45030)</f>
        <v>45030</v>
      </c>
      <c r="C20" s="0" t="n">
        <f aca="false">IFERROR(__xludf.dummyfunction("""COMPUTED_VALUE"""),2)</f>
        <v>2</v>
      </c>
      <c r="D20" s="0" t="str">
        <f aca="false">IFERROR(__xludf.dummyfunction("""COMPUTED_VALUE"""),"AICI202210-10-2| P: Incluir en el Plan de Trabajo del PETI vigencia 2023 la actualización y despliegue del plan de continuidad del negocio. (01/01/2023 - 31/01/2023)")</f>
        <v>AICI202210-10-2| P: Incluir en el Plan de Trabajo del PETI vigencia 2023 la actualización y despliegue del plan de continuidad del negocio. (01/01/2023 - 31/01/2023)</v>
      </c>
      <c r="E20" s="0" t="str">
        <f aca="false">IFERROR(__xludf.dummyfunction("""COMPUTED_VALUE"""),"El documento plan de trabajo del PETI 2023, se evidencia la inclusión de la actividad formular política de continuidad del negocio para el primer trimestre del 2023.  no obstante la política no ha sido formulada.")</f>
        <v>El documento plan de trabajo del PETI 2023, se evidencia la inclusión de la actividad formular política de continuidad del negocio para el primer trimestre del 2023.  no obstante la política no ha sido formulada.</v>
      </c>
      <c r="F20" s="0" t="str">
        <f aca="false">IFERROR(__xludf.dummyfunction("""COMPUTED_VALUE"""),"Completo")</f>
        <v>Completo</v>
      </c>
      <c r="G20" s="0" t="str">
        <f aca="false">IFERROR(__xludf.dummyfunction("""COMPUTED_VALUE"""),"No")</f>
        <v>No</v>
      </c>
    </row>
    <row r="21" customFormat="false" ht="14.25" hidden="false" customHeight="false" outlineLevel="0" collapsed="false">
      <c r="A21" s="18" t="str">
        <f aca="false">IFERROR(MID(D21,1,FIND("|",D21)-1)&amp;"-"&amp;C21,"")</f>
        <v>AICI202210-10-3-2</v>
      </c>
      <c r="B21" s="19" t="n">
        <f aca="false">IFERROR(__xludf.dummyfunction("""COMPUTED_VALUE"""),45030)</f>
        <v>45030</v>
      </c>
      <c r="C21" s="0" t="n">
        <f aca="false">IFERROR(__xludf.dummyfunction("""COMPUTED_VALUE"""),2)</f>
        <v>2</v>
      </c>
      <c r="D21" s="0" t="str">
        <f aca="false">IFERROR(__xludf.dummyfunction("""COMPUTED_VALUE"""),"AICI202210-10-3| H: Elaborar el Plan de Trabajo del PETI vigencia 2023 (01/01/2023 - 31/01/2023)")</f>
        <v>AICI202210-10-3| H: Elaborar el Plan de Trabajo del PETI vigencia 2023 (01/01/2023 - 31/01/2023)</v>
      </c>
      <c r="E21" s="0" t="str">
        <f aca="false">IFERROR(__xludf.dummyfunction("""COMPUTED_VALUE"""),"Se evidencia documento con el plan de trabajo del PETI para la vigencia 2023")</f>
        <v>Se evidencia documento con el plan de trabajo del PETI para la vigencia 2023</v>
      </c>
      <c r="F21" s="0" t="str">
        <f aca="false">IFERROR(__xludf.dummyfunction("""COMPUTED_VALUE"""),"Completo")</f>
        <v>Completo</v>
      </c>
      <c r="G21" s="0" t="str">
        <f aca="false">IFERROR(__xludf.dummyfunction("""COMPUTED_VALUE"""),"Sí")</f>
        <v>Sí</v>
      </c>
    </row>
    <row r="22" customFormat="false" ht="14.25" hidden="false" customHeight="false" outlineLevel="0" collapsed="false">
      <c r="A22" s="18" t="str">
        <f aca="false">IFERROR(MID(D22,1,FIND("|",D22)-1)&amp;"-"&amp;C22,"")</f>
        <v>AICI202210-11-1-2</v>
      </c>
      <c r="B22" s="19" t="n">
        <f aca="false">IFERROR(__xludf.dummyfunction("""COMPUTED_VALUE"""),45030)</f>
        <v>45030</v>
      </c>
      <c r="C22" s="0" t="n">
        <f aca="false">IFERROR(__xludf.dummyfunction("""COMPUTED_VALUE"""),2)</f>
        <v>2</v>
      </c>
      <c r="D22" s="0" t="str">
        <f aca="false">IFERROR(__xludf.dummyfunction("""COMPUTED_VALUE"""),"AICI202210-11-1| P: Documentar el procedimiento de levantamiento y actualización de activos de información, estableciendo las directrices y ... (01/01/2023 - 31/03/2023)")</f>
        <v>AICI202210-11-1| P: Documentar el procedimiento de levantamiento y actualización de activos de información, estableciendo las directrices y ... (01/01/2023 - 31/03/2023)</v>
      </c>
      <c r="E22" s="0" t="str">
        <f aca="false">IFERROR(__xludf.dummyfunction("""COMPUTED_VALUE"""),"Se evidencia el documento en versión preliminar denominado GESTION DE ACTIVOS DE INFORMACIÓN.  Pendiente de normalización.")</f>
        <v>Se evidencia el documento en versión preliminar denominado GESTION DE ACTIVOS DE INFORMACIÓN.  Pendiente de normalización.</v>
      </c>
      <c r="F22" s="0" t="str">
        <f aca="false">IFERROR(__xludf.dummyfunction("""COMPUTED_VALUE"""),"Atrasado")</f>
        <v>Atrasado</v>
      </c>
    </row>
    <row r="23" customFormat="false" ht="14.25" hidden="false" customHeight="false" outlineLevel="0" collapsed="false">
      <c r="A23" s="18" t="str">
        <f aca="false">IFERROR(MID(D23,1,FIND("|",D23)-1)&amp;"-"&amp;C23,"")</f>
        <v>AICI202210-12-1-2</v>
      </c>
      <c r="B23" s="19" t="n">
        <f aca="false">IFERROR(__xludf.dummyfunction("""COMPUTED_VALUE"""),45030)</f>
        <v>45030</v>
      </c>
      <c r="C23" s="0" t="n">
        <f aca="false">IFERROR(__xludf.dummyfunction("""COMPUTED_VALUE"""),2)</f>
        <v>2</v>
      </c>
      <c r="D23" s="0" t="str">
        <f aca="false">IFERROR(__xludf.dummyfunction("""COMPUTED_VALUE"""),"AICI202210-12-1| P: Actualizar la política de control de acceso, en el manual de políticas de seguridad y privacidad de la información y el ... (01/02/2023 - 31/03/2023)")</f>
        <v>AICI202210-12-1| P: Actualizar la política de control de acceso, en el manual de políticas de seguridad y privacidad de la información y el ... (01/02/2023 - 31/03/2023)</v>
      </c>
      <c r="E23" s="0" t="str">
        <f aca="false">IFERROR(__xludf.dummyfunction("""COMPUTED_VALUE"""),"No se evidencia la ejecución de la acción de mejora planteada.")</f>
        <v>No se evidencia la ejecución de la acción de mejora planteada.</v>
      </c>
      <c r="F23" s="0" t="str">
        <f aca="false">IFERROR(__xludf.dummyfunction("""COMPUTED_VALUE"""),"Atrasado")</f>
        <v>Atrasado</v>
      </c>
    </row>
    <row r="24" customFormat="false" ht="14.25" hidden="false" customHeight="false" outlineLevel="0" collapsed="false">
      <c r="A24" s="18" t="str">
        <f aca="false">IFERROR(MID(D24,1,FIND("|",D24)-1)&amp;"-"&amp;C24,"")</f>
        <v>AICI202210-13-1-2</v>
      </c>
      <c r="B24" s="19" t="n">
        <f aca="false">IFERROR(__xludf.dummyfunction("""COMPUTED_VALUE"""),45030)</f>
        <v>45030</v>
      </c>
      <c r="C24" s="0" t="n">
        <f aca="false">IFERROR(__xludf.dummyfunction("""COMPUTED_VALUE"""),2)</f>
        <v>2</v>
      </c>
      <c r="D24" s="0" t="str">
        <f aca="false">IFERROR(__xludf.dummyfunction("""COMPUTED_VALUE"""),"AICI202210-13-1| P: Analizar y presentar una propuesta a la alta dirección sobre las estrategias de respaldo de la información (01/01/2023 - 28/02/2023)")</f>
        <v>AICI202210-13-1| P: Analizar y presentar una propuesta a la alta dirección sobre las estrategias de respaldo de la información (01/01/2023 - 28/02/2023)</v>
      </c>
      <c r="E24" s="0" t="str">
        <f aca="false">IFERROR(__xludf.dummyfunction("""COMPUTED_VALUE"""),"En el informe ejecutivo para la junta directiva del mes de febrero de 2023, se presenta la propuesta de almacenamiento en cloud del sistema de información dinámica gerencial.  Igualmente el sistema Agilsalud tambien cuenta con almacenamiento en la nube de"&amp;" Azure ")</f>
        <v>En el informe ejecutivo para la junta directiva del mes de febrero de 2023, se presenta la propuesta de almacenamiento en cloud del sistema de información dinámica gerencial.  Igualmente el sistema Agilsalud tambien cuenta con almacenamiento en la nube de Azure </v>
      </c>
      <c r="F24" s="0" t="str">
        <f aca="false">IFERROR(__xludf.dummyfunction("""COMPUTED_VALUE"""),"Completo")</f>
        <v>Completo</v>
      </c>
      <c r="G24" s="0" t="str">
        <f aca="false">IFERROR(__xludf.dummyfunction("""COMPUTED_VALUE"""),"Sí")</f>
        <v>Sí</v>
      </c>
    </row>
    <row r="25" customFormat="false" ht="14.25" hidden="false" customHeight="false" outlineLevel="0" collapsed="false">
      <c r="A25" s="18" t="str">
        <f aca="false">IFERROR(MID(D25,1,FIND("|",D25)-1)&amp;"-"&amp;C25,"")</f>
        <v>AICI202210-5-2-2</v>
      </c>
      <c r="B25" s="19" t="n">
        <f aca="false">IFERROR(__xludf.dummyfunction("""COMPUTED_VALUE"""),45030)</f>
        <v>45030</v>
      </c>
      <c r="C25" s="0" t="n">
        <f aca="false">IFERROR(__xludf.dummyfunction("""COMPUTED_VALUE"""),2)</f>
        <v>2</v>
      </c>
      <c r="D25" s="0" t="str">
        <f aca="false">IFERROR(__xludf.dummyfunction("""COMPUTED_VALUE"""),"AICI202210-5-2| P: Elaborar plan de mantenimiento de equipos de computo y servidores ajustando los tiempos de ejecución y socializarlo. (01/01/2023 - 31/01/2023)")</f>
        <v>AICI202210-5-2| P: Elaborar plan de mantenimiento de equipos de computo y servidores ajustando los tiempos de ejecución y socializarlo. (01/01/2023 - 31/01/2023)</v>
      </c>
      <c r="E25" s="0" t="str">
        <f aca="false">IFERROR(__xludf.dummyfunction("""COMPUTED_VALUE"""),"Se evidencia el documento en hoja de calculo con la programación del mantenimiento preventivo de equipos de computo de la subred.  No obstante no se contempla el mantenimiento de servidores.")</f>
        <v>Se evidencia el documento en hoja de calculo con la programación del mantenimiento preventivo de equipos de computo de la subred.  No obstante no se contempla el mantenimiento de servidores.</v>
      </c>
      <c r="F25" s="0" t="str">
        <f aca="false">IFERROR(__xludf.dummyfunction("""COMPUTED_VALUE"""),"Atrasado")</f>
        <v>Atrasado</v>
      </c>
    </row>
    <row r="26" customFormat="false" ht="14.25" hidden="false" customHeight="false" outlineLevel="0" collapsed="false">
      <c r="A26" s="18" t="str">
        <f aca="false">IFERROR(MID(D26,1,FIND("|",D26)-1)&amp;"-"&amp;C26,"")</f>
        <v>AICI202210-14-1-2</v>
      </c>
      <c r="B26" s="19" t="n">
        <f aca="false">IFERROR(__xludf.dummyfunction("""COMPUTED_VALUE"""),45030)</f>
        <v>45030</v>
      </c>
      <c r="C26" s="0" t="n">
        <f aca="false">IFERROR(__xludf.dummyfunction("""COMPUTED_VALUE"""),2)</f>
        <v>2</v>
      </c>
      <c r="D26" s="0" t="str">
        <f aca="false">IFERROR(__xludf.dummyfunction("""COMPUTED_VALUE"""),"AICI202210-14-1| P: Elaborar un plan de Capacitación y sensibilización de Seguridad y Privacidad de la Información (01/01/2023 - 28/02/2023)")</f>
        <v>AICI202210-14-1| P: Elaborar un plan de Capacitación y sensibilización de Seguridad y Privacidad de la Información (01/01/2023 - 28/02/2023)</v>
      </c>
      <c r="E26" s="0" t="str">
        <f aca="false">IFERROR(__xludf.dummyfunction("""COMPUTED_VALUE"""),"Se evidencia cronograma con el plan de capacitación y sensibilización con los temas relacionados con seguridad y gobierno digital para la vigencia 2023.")</f>
        <v>Se evidencia cronograma con el plan de capacitación y sensibilización con los temas relacionados con seguridad y gobierno digital para la vigencia 2023.</v>
      </c>
      <c r="F26" s="0" t="str">
        <f aca="false">IFERROR(__xludf.dummyfunction("""COMPUTED_VALUE"""),"Completo")</f>
        <v>Completo</v>
      </c>
      <c r="G26" s="0" t="str">
        <f aca="false">IFERROR(__xludf.dummyfunction("""COMPUTED_VALUE"""),"Sí")</f>
        <v>Sí</v>
      </c>
    </row>
    <row r="27" customFormat="false" ht="14.25" hidden="false" customHeight="false" outlineLevel="0" collapsed="false">
      <c r="A27" s="18" t="str">
        <f aca="false">IFERROR(MID(D27,1,FIND("|",D27)-1)&amp;"-"&amp;C27,"")</f>
        <v>AICI202210-2-1-3</v>
      </c>
      <c r="B27" s="19" t="n">
        <f aca="false">IFERROR(__xludf.dummyfunction("""COMPUTED_VALUE"""),45119)</f>
        <v>45119</v>
      </c>
      <c r="C27" s="0" t="n">
        <f aca="false">IFERROR(__xludf.dummyfunction("""COMPUTED_VALUE"""),3)</f>
        <v>3</v>
      </c>
      <c r="D27" s="0" t="str">
        <f aca="false">IFERROR(__xludf.dummyfunction("""COMPUTED_VALUE"""),"AICI202210-2-1| P: Solicitar sencibilización al área de Contratación sobre el manual de supervisión de contratos y manejo de la plataforma SECOP ... (01/01/2023 - 28/02/2023)")</f>
        <v>AICI202210-2-1| P: Solicitar sencibilización al área de Contratación sobre el manual de supervisión de contratos y manejo de la plataforma SECOP ... (01/01/2023 - 28/02/2023)</v>
      </c>
      <c r="E27" s="0" t="str">
        <f aca="false">IFERROR(__xludf.dummyfunction("""COMPUTED_VALUE"""),"Se evidencia la participación de Tics en la jornada de capacitación sobre contratación y manejo de la plataforma SECOP realizada los días 25 de abril y 3 de mayo de la actual vigencia.  Pendiente el envío de las actas por parte de la oficina de contrataci"&amp;"ón.")</f>
        <v>Se evidencia la participación de Tics en la jornada de capacitación sobre contratación y manejo de la plataforma SECOP realizada los días 25 de abril y 3 de mayo de la actual vigencia.  Pendiente el envío de las actas por parte de la oficina de contratación.</v>
      </c>
      <c r="F27" s="0" t="str">
        <f aca="false">IFERROR(__xludf.dummyfunction("""COMPUTED_VALUE"""),"Completo")</f>
        <v>Completo</v>
      </c>
      <c r="G27" s="0" t="str">
        <f aca="false">IFERROR(__xludf.dummyfunction("""COMPUTED_VALUE"""),"Sí")</f>
        <v>Sí</v>
      </c>
    </row>
    <row r="28" customFormat="false" ht="14.25" hidden="false" customHeight="false" outlineLevel="0" collapsed="false">
      <c r="A28" s="18" t="str">
        <f aca="false">IFERROR(MID(D28,1,FIND("|",D28)-1)&amp;"-"&amp;C28,"")</f>
        <v>AICI202210-5-2-3</v>
      </c>
      <c r="B28" s="19" t="n">
        <f aca="false">IFERROR(__xludf.dummyfunction("""COMPUTED_VALUE"""),45119)</f>
        <v>45119</v>
      </c>
      <c r="C28" s="0" t="n">
        <f aca="false">IFERROR(__xludf.dummyfunction("""COMPUTED_VALUE"""),3)</f>
        <v>3</v>
      </c>
      <c r="D28" s="0" t="str">
        <f aca="false">IFERROR(__xludf.dummyfunction("""COMPUTED_VALUE"""),"AICI202210-5-2| P: Elaborar plan de mantenimiento de equipos de computo y servidores ajustando los tiempos de ejecución y socializarlo. (01/01/2023 - 31/01/2023)")</f>
        <v>AICI202210-5-2| P: Elaborar plan de mantenimiento de equipos de computo y servidores ajustando los tiempos de ejecución y socializarlo. (01/01/2023 - 31/01/2023)</v>
      </c>
      <c r="E28" s="0" t="str">
        <f aca="false">IFERROR(__xludf.dummyfunction("""COMPUTED_VALUE"""),"Se cuenta con el cronograma de mantenimiento de servidores con una periodicidad semestral, no obstante, no se evidencia las actas del mantenimiento realizado el 27 de mayo de 2023 ni las actas de socialización.")</f>
        <v>Se cuenta con el cronograma de mantenimiento de servidores con una periodicidad semestral, no obstante, no se evidencia las actas del mantenimiento realizado el 27 de mayo de 2023 ni las actas de socialización.</v>
      </c>
      <c r="F28" s="0" t="str">
        <f aca="false">IFERROR(__xludf.dummyfunction("""COMPUTED_VALUE"""),"Atrasado")</f>
        <v>Atrasado</v>
      </c>
    </row>
    <row r="29" customFormat="false" ht="14.25" hidden="false" customHeight="false" outlineLevel="0" collapsed="false">
      <c r="A29" s="18" t="str">
        <f aca="false">IFERROR(MID(D29,1,FIND("|",D29)-1)&amp;"-"&amp;C29,"")</f>
        <v>AICI202210-8-1-3</v>
      </c>
      <c r="B29" s="19" t="n">
        <f aca="false">IFERROR(__xludf.dummyfunction("""COMPUTED_VALUE"""),45119)</f>
        <v>45119</v>
      </c>
      <c r="C29" s="0" t="n">
        <f aca="false">IFERROR(__xludf.dummyfunction("""COMPUTED_VALUE"""),3)</f>
        <v>3</v>
      </c>
      <c r="D29" s="0" t="str">
        <f aca="false">IFERROR(__xludf.dummyfunction("""COMPUTED_VALUE"""),"AICI202210-8-1| P: Actualizar el Plan de contingencia de los sistemas de información  que soportan los procesos internos de la institución para ... (01/02/2023 - 31/03/2023)")</f>
        <v>AICI202210-8-1| P: Actualizar el Plan de contingencia de los sistemas de información  que soportan los procesos internos de la institución para ... (01/02/2023 - 31/03/2023)</v>
      </c>
      <c r="E29" s="0" t="str">
        <f aca="false">IFERROR(__xludf.dummyfunction("""COMPUTED_VALUE"""),"El documento PLAN DE CONTINGENCIA DE LOS SITEMAS DE INFORMACIÓN, fue actualizado y normalizadocon el código AP-GI-PL-12.")</f>
        <v>El documento PLAN DE CONTINGENCIA DE LOS SITEMAS DE INFORMACIÓN, fue actualizado y normalizadocon el código AP-GI-PL-12.</v>
      </c>
      <c r="F29" s="0" t="str">
        <f aca="false">IFERROR(__xludf.dummyfunction("""COMPUTED_VALUE"""),"Completo")</f>
        <v>Completo</v>
      </c>
      <c r="G29" s="0" t="str">
        <f aca="false">IFERROR(__xludf.dummyfunction("""COMPUTED_VALUE"""),"Sí")</f>
        <v>Sí</v>
      </c>
    </row>
    <row r="30" customFormat="false" ht="14.25" hidden="false" customHeight="false" outlineLevel="0" collapsed="false">
      <c r="A30" s="18" t="str">
        <f aca="false">IFERROR(MID(D30,1,FIND("|",D30)-1)&amp;"-"&amp;C30,"")</f>
        <v>AICI202210-9-2-3</v>
      </c>
      <c r="B30" s="19" t="n">
        <f aca="false">IFERROR(__xludf.dummyfunction("""COMPUTED_VALUE"""),45119)</f>
        <v>45119</v>
      </c>
      <c r="C30" s="0" t="n">
        <f aca="false">IFERROR(__xludf.dummyfunction("""COMPUTED_VALUE"""),3)</f>
        <v>3</v>
      </c>
      <c r="D30" s="0" t="str">
        <f aca="false">IFERROR(__xludf.dummyfunction("""COMPUTED_VALUE"""),"AICI202210-9-2| H: Generar  un tablero de control para realizar seguimiento al estado de los contratos y determinar fechas para dar inicio a ... (01/01/2023 - 28/02/2023)")</f>
        <v>AICI202210-9-2| H: Generar  un tablero de control para realizar seguimiento al estado de los contratos y determinar fechas para dar inicio a ... (01/01/2023 - 28/02/2023)</v>
      </c>
      <c r="E30" s="0" t="str">
        <f aca="false">IFERROR(__xludf.dummyfunction("""COMPUTED_VALUE"""),"Se evidencia la elaboración del tablero de control para los contratos de bienes y servicios.  a la fecha de este seguimiento el tablero se encentra actualizado.")</f>
        <v>Se evidencia la elaboración del tablero de control para los contratos de bienes y servicios.  a la fecha de este seguimiento el tablero se encentra actualizado.</v>
      </c>
      <c r="F30" s="0" t="str">
        <f aca="false">IFERROR(__xludf.dummyfunction("""COMPUTED_VALUE"""),"Completo")</f>
        <v>Completo</v>
      </c>
      <c r="G30" s="0" t="str">
        <f aca="false">IFERROR(__xludf.dummyfunction("""COMPUTED_VALUE"""),"Sí")</f>
        <v>Sí</v>
      </c>
    </row>
    <row r="31" customFormat="false" ht="14.25" hidden="false" customHeight="false" outlineLevel="0" collapsed="false">
      <c r="A31" s="18" t="str">
        <f aca="false">IFERROR(MID(D31,1,FIND("|",D31)-1)&amp;"-"&amp;C31,"")</f>
        <v>AICI202210-10-1-3</v>
      </c>
      <c r="B31" s="19" t="n">
        <f aca="false">IFERROR(__xludf.dummyfunction("""COMPUTED_VALUE"""),45119)</f>
        <v>45119</v>
      </c>
      <c r="C31" s="0" t="n">
        <f aca="false">IFERROR(__xludf.dummyfunction("""COMPUTED_VALUE"""),3)</f>
        <v>3</v>
      </c>
      <c r="D31" s="0" t="str">
        <f aca="false">IFERROR(__xludf.dummyfunction("""COMPUTED_VALUE"""),"AICI202210-10-1| P: Formular politica de continuidad del negocio de acuerdo a los objetivos estratégicos de la entidad. (01/02/2023 - 31/03/2023)")</f>
        <v>AICI202210-10-1| P: Formular politica de continuidad del negocio de acuerdo a los objetivos estratégicos de la entidad. (01/02/2023 - 31/03/2023)</v>
      </c>
      <c r="E31" s="0" t="str">
        <f aca="false">IFERROR(__xludf.dummyfunction("""COMPUTED_VALUE"""),"El proceso de Tics elaboró un borrador de la Politica de Continuidad del Negocio, no obstante, dicha politica se encuentra orientada a la continuidad de los servicios informaticos DRP (recuperación de desastres).  La politica de continuidad de Negocio es "&amp;"institucional e intervienen los procesos asistenciales, administrativos y estrategicos, por lo que se recomienda reformular la acción; documentando el DRP, el cual hace parte integral de la continuidad de negocio..")</f>
        <v>El proceso de Tics elaboró un borrador de la Politica de Continuidad del Negocio, no obstante, dicha politica se encuentra orientada a la continuidad de los servicios informaticos DRP (recuperación de desastres).  La politica de continuidad de Negocio es institucional e intervienen los procesos asistenciales, administrativos y estrategicos, por lo que se recomienda reformular la acción; documentando el DRP, el cual hace parte integral de la continuidad de negocio..</v>
      </c>
      <c r="F31" s="0" t="str">
        <f aca="false">IFERROR(__xludf.dummyfunction("""COMPUTED_VALUE"""),"Atrasado")</f>
        <v>Atrasado</v>
      </c>
    </row>
    <row r="32" customFormat="false" ht="14.25" hidden="false" customHeight="false" outlineLevel="0" collapsed="false">
      <c r="A32" s="18" t="str">
        <f aca="false">IFERROR(MID(D32,1,FIND("|",D32)-1)&amp;"-"&amp;C32,"")</f>
        <v>AICI202210-11-1-3</v>
      </c>
      <c r="B32" s="19" t="n">
        <f aca="false">IFERROR(__xludf.dummyfunction("""COMPUTED_VALUE"""),45119)</f>
        <v>45119</v>
      </c>
      <c r="C32" s="0" t="n">
        <f aca="false">IFERROR(__xludf.dummyfunction("""COMPUTED_VALUE"""),3)</f>
        <v>3</v>
      </c>
      <c r="D32" s="0" t="str">
        <f aca="false">IFERROR(__xludf.dummyfunction("""COMPUTED_VALUE"""),"AICI202210-11-1| P: Documentar el procedimiento de levantamiento y actualización de activos de información, estableciendo las directrices y ... (01/01/2023 - 31/03/2023)")</f>
        <v>AICI202210-11-1| P: Documentar el procedimiento de levantamiento y actualización de activos de información, estableciendo las directrices y ... (01/01/2023 - 31/03/2023)</v>
      </c>
      <c r="E32" s="0" t="str">
        <f aca="false">IFERROR(__xludf.dummyfunction("""COMPUTED_VALUE"""),"Durante los meses de abril y mayo de la actual vigencia, la oficina de TIcs realizó capacitaciones sobre el procedimiento de levanameinto de activos de información, a la fecha del presente seguimiento se cuenta con una base de datos con más 2.000 registro"&amp;"s de activos de información cuyo procedimiento se encuentra en proceso de normalización.   Se anexa la solcitud y el procedimiento.   ")</f>
        <v>Durante los meses de abril y mayo de la actual vigencia, la oficina de TIcs realizó capacitaciones sobre el procedimiento de levanameinto de activos de información, a la fecha del presente seguimiento se cuenta con una base de datos con más 2.000 registros de activos de información cuyo procedimiento se encuentra en proceso de normalización.   Se anexa la solcitud y el procedimiento.   </v>
      </c>
      <c r="F32" s="0" t="str">
        <f aca="false">IFERROR(__xludf.dummyfunction("""COMPUTED_VALUE"""),"Completo")</f>
        <v>Completo</v>
      </c>
      <c r="G32" s="0" t="str">
        <f aca="false">IFERROR(__xludf.dummyfunction("""COMPUTED_VALUE"""),"Sí")</f>
        <v>Sí</v>
      </c>
    </row>
    <row r="33" customFormat="false" ht="14.25" hidden="false" customHeight="false" outlineLevel="0" collapsed="false">
      <c r="A33" s="18" t="str">
        <f aca="false">IFERROR(MID(D33,1,FIND("|",D33)-1)&amp;"-"&amp;C33,"")</f>
        <v>AICI202210-12-1-3</v>
      </c>
      <c r="B33" s="19" t="n">
        <f aca="false">IFERROR(__xludf.dummyfunction("""COMPUTED_VALUE"""),45119)</f>
        <v>45119</v>
      </c>
      <c r="C33" s="0" t="n">
        <f aca="false">IFERROR(__xludf.dummyfunction("""COMPUTED_VALUE"""),3)</f>
        <v>3</v>
      </c>
      <c r="D33" s="0" t="str">
        <f aca="false">IFERROR(__xludf.dummyfunction("""COMPUTED_VALUE"""),"AICI202210-12-1| P: Actualizar la política de control de acceso, en el manual de políticas de seguridad y privacidad de la información y el ... (01/02/2023 - 31/03/2023)")</f>
        <v>AICI202210-12-1| P: Actualizar la política de control de acceso, en el manual de políticas de seguridad y privacidad de la información y el ... (01/02/2023 - 31/03/2023)</v>
      </c>
      <c r="E33" s="0" t="str">
        <f aca="false">IFERROR(__xludf.dummyfunction("""COMPUTED_VALUE"""),"Se evidencia dentro del manual de politicas de seguridad la politca de control de acceso númeral 13.  Pendiente aprobación y normalización.")</f>
        <v>Se evidencia dentro del manual de politicas de seguridad la politca de control de acceso númeral 13.  Pendiente aprobación y normalización.</v>
      </c>
      <c r="F33" s="0" t="str">
        <f aca="false">IFERROR(__xludf.dummyfunction("""COMPUTED_VALUE"""),"Atrasado")</f>
        <v>Atrasado</v>
      </c>
    </row>
    <row r="34" customFormat="false" ht="14.25" hidden="false" customHeight="false" outlineLevel="0" collapsed="false">
      <c r="A34" s="18" t="str">
        <f aca="false">IFERROR(MID(D34,1,FIND("|",D34)-1)&amp;"-"&amp;C34,"")</f>
        <v>AICI202210-1-3-3</v>
      </c>
      <c r="B34" s="19" t="n">
        <f aca="false">IFERROR(__xludf.dummyfunction("""COMPUTED_VALUE"""),45119)</f>
        <v>45119</v>
      </c>
      <c r="C34" s="0" t="n">
        <f aca="false">IFERROR(__xludf.dummyfunction("""COMPUTED_VALUE"""),3)</f>
        <v>3</v>
      </c>
      <c r="D34" s="0" t="str">
        <f aca="false">IFERROR(__xludf.dummyfunction("""COMPUTED_VALUE"""),"AICI202210-1-3| H: Ejecutar plan de trabajo para la elaboración y actualización documentación y solicitar la respectiva  normalización  (01/01/2023 - 30/06/2023)")</f>
        <v>AICI202210-1-3| H: Ejecutar plan de trabajo para la elaboración y actualización documentación y solicitar la respectiva  normalización  (01/01/2023 - 30/06/2023)</v>
      </c>
      <c r="E34" s="0" t="str">
        <f aca="false">IFERROR(__xludf.dummyfunction("""COMPUTED_VALUE"""),"Dentro del plan de trabajo para la elaboración y actualización de documentos, se evidencia la ejeccuión de un avance del 90%, quedando pendiente la normalización de dos documentos.  ")</f>
        <v>Dentro del plan de trabajo para la elaboración y actualización de documentos, se evidencia la ejeccuión de un avance del 90%, quedando pendiente la normalización de dos documentos.  </v>
      </c>
      <c r="F34" s="0" t="str">
        <f aca="false">IFERROR(__xludf.dummyfunction("""COMPUTED_VALUE"""),"Completo")</f>
        <v>Completo</v>
      </c>
      <c r="G34" s="0" t="str">
        <f aca="false">IFERROR(__xludf.dummyfunction("""COMPUTED_VALUE"""),"Sí")</f>
        <v>Sí</v>
      </c>
    </row>
    <row r="35" customFormat="false" ht="14.25" hidden="false" customHeight="false" outlineLevel="0" collapsed="false">
      <c r="A35" s="18" t="str">
        <f aca="false">IFERROR(MID(D35,1,FIND("|",D35)-1)&amp;"-"&amp;C35,"")</f>
        <v>AICI202210-1-4-3</v>
      </c>
      <c r="B35" s="19" t="n">
        <f aca="false">IFERROR(__xludf.dummyfunction("""COMPUTED_VALUE"""),45119)</f>
        <v>45119</v>
      </c>
      <c r="C35" s="0" t="n">
        <f aca="false">IFERROR(__xludf.dummyfunction("""COMPUTED_VALUE"""),3)</f>
        <v>3</v>
      </c>
      <c r="D35" s="0" t="str">
        <f aca="false">IFERROR(__xludf.dummyfunction("""COMPUTED_VALUE"""),"AICI202210-1-4| V: Socializar la documentación a los funcionarios y/o contratistas y evaluar la efectividad. (01/03/2023 - 30/06/2023)")</f>
        <v>AICI202210-1-4| V: Socializar la documentación a los funcionarios y/o contratistas y evaluar la efectividad. (01/03/2023 - 30/06/2023)</v>
      </c>
      <c r="E35" s="0" t="str">
        <f aca="false">IFERROR(__xludf.dummyfunction("""COMPUTED_VALUE"""),"Mediante el acta de fecha 11 de julio, se evidencia la socialización de la documentación elaborada por la oficina de TICs.  Se adjunta acta y presentación de la socialización.")</f>
        <v>Mediante el acta de fecha 11 de julio, se evidencia la socialización de la documentación elaborada por la oficina de TICs.  Se adjunta acta y presentación de la socialización.</v>
      </c>
      <c r="F35" s="0" t="str">
        <f aca="false">IFERROR(__xludf.dummyfunction("""COMPUTED_VALUE"""),"Completo")</f>
        <v>Completo</v>
      </c>
      <c r="G35" s="0" t="str">
        <f aca="false">IFERROR(__xludf.dummyfunction("""COMPUTED_VALUE"""),"Sí")</f>
        <v>Sí</v>
      </c>
    </row>
    <row r="36" customFormat="false" ht="14.25" hidden="false" customHeight="false" outlineLevel="0" collapsed="false">
      <c r="A36" s="18" t="str">
        <f aca="false">IFERROR(MID(D36,1,FIND("|",D36)-1)&amp;"-"&amp;C36,"")</f>
        <v>AICI202210-6-1-3</v>
      </c>
      <c r="B36" s="19" t="n">
        <f aca="false">IFERROR(__xludf.dummyfunction("""COMPUTED_VALUE"""),45119)</f>
        <v>45119</v>
      </c>
      <c r="C36" s="0" t="n">
        <f aca="false">IFERROR(__xludf.dummyfunction("""COMPUTED_VALUE"""),3)</f>
        <v>3</v>
      </c>
      <c r="D36" s="0" t="str">
        <f aca="false">IFERROR(__xludf.dummyfunction("""COMPUTED_VALUE"""),"AICI202210-6-1| P: Revisar y actualizar el documento AP-GI-I-19-01 definiendo los Acuerdos de Niveles de Servicio.  (01/05/2022 - 31/05/2023)")</f>
        <v>AICI202210-6-1| P: Revisar y actualizar el documento AP-GI-I-19-01 definiendo los Acuerdos de Niveles de Servicio.  (01/05/2022 - 31/05/2023)</v>
      </c>
      <c r="E36" s="0" t="str">
        <f aca="false">IFERROR(__xludf.dummyfunction("""COMPUTED_VALUE"""),"Se realizó la actualización del documento de niveles de servicios (ANS) y se socializó en la jornada realizada el 11 de junio de 2023.  Se adjunta acta de socialización y documento con los nuevos ANS.  Se recomienda tener en cuenta y hacer seguimiento a l"&amp;"os incumplimientos del ANS ")</f>
        <v>Se realizó la actualización del documento de niveles de servicios (ANS) y se socializó en la jornada realizada el 11 de junio de 2023.  Se adjunta acta de socialización y documento con los nuevos ANS.  Se recomienda tener en cuenta y hacer seguimiento a los incumplimientos del ANS </v>
      </c>
      <c r="F36" s="0" t="str">
        <f aca="false">IFERROR(__xludf.dummyfunction("""COMPUTED_VALUE"""),"Completo")</f>
        <v>Completo</v>
      </c>
      <c r="G36" s="0" t="str">
        <f aca="false">IFERROR(__xludf.dummyfunction("""COMPUTED_VALUE"""),"No")</f>
        <v>No</v>
      </c>
    </row>
    <row r="37" customFormat="false" ht="14.25" hidden="false" customHeight="false" outlineLevel="0" collapsed="false">
      <c r="A37" s="18" t="str">
        <f aca="false">IFERROR(MID(D37,1,FIND("|",D37)-1)&amp;"-"&amp;C37,"")</f>
        <v>AICI202210-6-2-3</v>
      </c>
      <c r="B37" s="19" t="n">
        <f aca="false">IFERROR(__xludf.dummyfunction("""COMPUTED_VALUE"""),45119)</f>
        <v>45119</v>
      </c>
      <c r="C37" s="0" t="n">
        <f aca="false">IFERROR(__xludf.dummyfunction("""COMPUTED_VALUE"""),3)</f>
        <v>3</v>
      </c>
      <c r="D37" s="0" t="str">
        <f aca="false">IFERROR(__xludf.dummyfunction("""COMPUTED_VALUE"""),"AICI202210-6-2| H: Sensibilizar al personal de la oficina de sistemas de información y TICs  sobre el Instructivo de Acuerdos de Niveles de Servic (01/06/2023 - 30/06/2023)")</f>
        <v>AICI202210-6-2| H: Sensibilizar al personal de la oficina de sistemas de información y TICs  sobre el Instructivo de Acuerdos de Niveles de Servic (01/06/2023 - 30/06/2023)</v>
      </c>
      <c r="E37" s="0" t="str">
        <f aca="false">IFERROR(__xludf.dummyfunction("""COMPUTED_VALUE"""),"En jornada de sensibilización del 11 de julio se evidencia la capacitación realizada sobre el nuevo acuerdo de nivel de servicios.  Se anexa Acta y presentación.")</f>
        <v>En jornada de sensibilización del 11 de julio se evidencia la capacitación realizada sobre el nuevo acuerdo de nivel de servicios.  Se anexa Acta y presentación.</v>
      </c>
      <c r="F37" s="0" t="str">
        <f aca="false">IFERROR(__xludf.dummyfunction("""COMPUTED_VALUE"""),"Completo")</f>
        <v>Completo</v>
      </c>
      <c r="G37" s="0" t="str">
        <f aca="false">IFERROR(__xludf.dummyfunction("""COMPUTED_VALUE"""),"Sí")</f>
        <v>Sí</v>
      </c>
    </row>
    <row r="38" customFormat="false" ht="14.25" hidden="false" customHeight="false" outlineLevel="0" collapsed="false">
      <c r="A38" s="18" t="str">
        <f aca="false">IFERROR(MID(D38,1,FIND("|",D38)-1)&amp;"-"&amp;C38,"")</f>
        <v>AICI202210-8-2-3</v>
      </c>
      <c r="B38" s="19" t="n">
        <f aca="false">IFERROR(__xludf.dummyfunction("""COMPUTED_VALUE"""),45119)</f>
        <v>45119</v>
      </c>
      <c r="C38" s="0" t="n">
        <f aca="false">IFERROR(__xludf.dummyfunction("""COMPUTED_VALUE"""),3)</f>
        <v>3</v>
      </c>
      <c r="D38" s="0" t="str">
        <f aca="false">IFERROR(__xludf.dummyfunction("""COMPUTED_VALUE"""),"AICI202210-8-2| P: Actualizar el Instructivo de generación y restauración de copias de seguridad (01/03/2023 - 30/04/2023)")</f>
        <v>AICI202210-8-2| P: Actualizar el Instructivo de generación y restauración de copias de seguridad (01/03/2023 - 30/04/2023)</v>
      </c>
      <c r="E38" s="0" t="str">
        <f aca="false">IFERROR(__xludf.dummyfunction("""COMPUTED_VALUE"""),"El instructivo de copias de seguridad se encuentra en modificación, no se tiene definido los procedimientos ni los esquemas de backup para los servicios alojados en la nube.  Se recomienda que se de claridad sobre los backups de aplicaciones y servicios a"&amp;"lojados en cloud.")</f>
        <v>El instructivo de copias de seguridad se encuentra en modificación, no se tiene definido los procedimientos ni los esquemas de backup para los servicios alojados en la nube.  Se recomienda que se de claridad sobre los backups de aplicaciones y servicios alojados en cloud.</v>
      </c>
      <c r="F38" s="0" t="str">
        <f aca="false">IFERROR(__xludf.dummyfunction("""COMPUTED_VALUE"""),"Atrasado")</f>
        <v>Atrasado</v>
      </c>
    </row>
    <row r="39" customFormat="false" ht="14.25" hidden="false" customHeight="false" outlineLevel="0" collapsed="false">
      <c r="A39" s="18" t="str">
        <f aca="false">IFERROR(MID(D39,1,FIND("|",D39)-1)&amp;"-"&amp;C39,"")</f>
        <v>AICI202210-8-3-3</v>
      </c>
      <c r="B39" s="19" t="n">
        <f aca="false">IFERROR(__xludf.dummyfunction("""COMPUTED_VALUE"""),45119)</f>
        <v>45119</v>
      </c>
      <c r="C39" s="0" t="n">
        <f aca="false">IFERROR(__xludf.dummyfunction("""COMPUTED_VALUE"""),3)</f>
        <v>3</v>
      </c>
      <c r="D39" s="0" t="str">
        <f aca="false">IFERROR(__xludf.dummyfunction("""COMPUTED_VALUE"""),"AICI202210-8-3| H: Aprobar el Plan de contingencia de los sistemas de información. (01/04/2023 - 31/05/2023)")</f>
        <v>AICI202210-8-3| H: Aprobar el Plan de contingencia de los sistemas de información. (01/04/2023 - 31/05/2023)</v>
      </c>
      <c r="E39" s="0" t="str">
        <f aca="false">IFERROR(__xludf.dummyfunction("""COMPUTED_VALUE"""),"En acta de comité de historias clinicas, se evidencia la aprobación del plan de contingencia de los sitemas de información.   Se anexa acta de comité")</f>
        <v>En acta de comité de historias clinicas, se evidencia la aprobación del plan de contingencia de los sitemas de información.   Se anexa acta de comité</v>
      </c>
      <c r="F39" s="0" t="str">
        <f aca="false">IFERROR(__xludf.dummyfunction("""COMPUTED_VALUE"""),"Completo")</f>
        <v>Completo</v>
      </c>
      <c r="G39" s="0" t="str">
        <f aca="false">IFERROR(__xludf.dummyfunction("""COMPUTED_VALUE"""),"Sí")</f>
        <v>Sí</v>
      </c>
    </row>
    <row r="40" customFormat="false" ht="14.25" hidden="false" customHeight="false" outlineLevel="0" collapsed="false">
      <c r="A40" s="18" t="str">
        <f aca="false">IFERROR(MID(D40,1,FIND("|",D40)-1)&amp;"-"&amp;C40,"")</f>
        <v>AICI202210-8-6-3</v>
      </c>
      <c r="B40" s="19" t="n">
        <f aca="false">IFERROR(__xludf.dummyfunction("""COMPUTED_VALUE"""),45119)</f>
        <v>45119</v>
      </c>
      <c r="C40" s="0" t="n">
        <f aca="false">IFERROR(__xludf.dummyfunction("""COMPUTED_VALUE"""),3)</f>
        <v>3</v>
      </c>
      <c r="D40" s="0" t="str">
        <f aca="false">IFERROR(__xludf.dummyfunction("""COMPUTED_VALUE"""),"AICI202210-8-6| H: Realizar informe sobre el resultado de la evaluación del incidente sobre el aplicativo Orfeo. (01/01/2023 - 30/04/2023)")</f>
        <v>AICI202210-8-6| H: Realizar informe sobre el resultado de la evaluación del incidente sobre el aplicativo Orfeo. (01/01/2023 - 30/04/2023)</v>
      </c>
      <c r="E40" s="0" t="str">
        <f aca="false">IFERROR(__xludf.dummyfunction("""COMPUTED_VALUE"""),"Se evidencia informe detallado sobre el incidente, al igual que el procedimiento de recuperación de la información afectada (3 días); los cuales fueron recuperados entre el 31 de agosto al 9 de septimbre de 2022, quedando el sistema en operación normal el"&amp;" día 9/9/2022.   se anexa el informe. ")</f>
        <v>Se evidencia informe detallado sobre el incidente, al igual que el procedimiento de recuperación de la información afectada (3 días); los cuales fueron recuperados entre el 31 de agosto al 9 de septimbre de 2022, quedando el sistema en operación normal el día 9/9/2022.   se anexa el informe. </v>
      </c>
      <c r="F40" s="0" t="str">
        <f aca="false">IFERROR(__xludf.dummyfunction("""COMPUTED_VALUE"""),"Completo")</f>
        <v>Completo</v>
      </c>
      <c r="G40" s="0" t="str">
        <f aca="false">IFERROR(__xludf.dummyfunction("""COMPUTED_VALUE"""),"Sí")</f>
        <v>Sí</v>
      </c>
    </row>
    <row r="41" customFormat="false" ht="14.25" hidden="false" customHeight="false" outlineLevel="0" collapsed="false">
      <c r="A41" s="18" t="str">
        <f aca="false">IFERROR(MID(D41,1,FIND("|",D41)-1)&amp;"-"&amp;C41,"")</f>
        <v>AICI202210-4-1-3</v>
      </c>
      <c r="B41" s="19" t="n">
        <f aca="false">IFERROR(__xludf.dummyfunction("""COMPUTED_VALUE"""),45120)</f>
        <v>45120</v>
      </c>
      <c r="C41" s="0" t="n">
        <f aca="false">IFERROR(__xludf.dummyfunction("""COMPUTED_VALUE"""),3)</f>
        <v>3</v>
      </c>
      <c r="D41" s="0" t="str">
        <f aca="false">IFERROR(__xludf.dummyfunction("""COMPUTED_VALUE"""),"AICI202210-4-1| P: Solicitar sensibilización y participar en la mesa de trabajo para el manejo de  archivo documental a la oficina de gestión ... (01/03/2023 - 30/04/2023)")</f>
        <v>AICI202210-4-1| P: Solicitar sensibilización y participar en la mesa de trabajo para el manejo de  archivo documental a la oficina de gestión ... (01/03/2023 - 30/04/2023)</v>
      </c>
      <c r="E41" s="0" t="str">
        <f aca="false">IFERROR(__xludf.dummyfunction("""COMPUTED_VALUE"""),"No se dió cumplimiento a la acción de mejora planteada.")</f>
        <v>No se dió cumplimiento a la acción de mejora planteada.</v>
      </c>
      <c r="F41" s="0" t="str">
        <f aca="false">IFERROR(__xludf.dummyfunction("""COMPUTED_VALUE"""),"Atrasado")</f>
        <v>Atrasado</v>
      </c>
    </row>
    <row r="42" customFormat="false" ht="14.25" hidden="false" customHeight="false" outlineLevel="0" collapsed="false">
      <c r="A42" s="18" t="str">
        <f aca="false">IFERROR(MID(D42,1,FIND("|",D42)-1)&amp;"-"&amp;C42,"")</f>
        <v>AICI202210-4-2-3</v>
      </c>
      <c r="B42" s="19" t="n">
        <f aca="false">IFERROR(__xludf.dummyfunction("""COMPUTED_VALUE"""),45120)</f>
        <v>45120</v>
      </c>
      <c r="C42" s="0" t="n">
        <f aca="false">IFERROR(__xludf.dummyfunction("""COMPUTED_VALUE"""),3)</f>
        <v>3</v>
      </c>
      <c r="D42" s="0" t="str">
        <f aca="false">IFERROR(__xludf.dummyfunction("""COMPUTED_VALUE"""),"AICI202210-4-2| P: Elaborar plan de trabajo de organización del archivo de hojas de vida de los equipos de computo de acuerdo a la orientación de ... (01/05/2023 - 31/05/2023)")</f>
        <v>AICI202210-4-2| P: Elaborar plan de trabajo de organización del archivo de hojas de vida de los equipos de computo de acuerdo a la orientación de ... (01/05/2023 - 31/05/2023)</v>
      </c>
      <c r="E42" s="0" t="str">
        <f aca="false">IFERROR(__xludf.dummyfunction("""COMPUTED_VALUE"""),"No se evidencia la elaboración del plan de trabajo para la organización del archivo de hojas de vida de los equipos de computo.")</f>
        <v>No se evidencia la elaboración del plan de trabajo para la organización del archivo de hojas de vida de los equipos de computo.</v>
      </c>
      <c r="F42" s="0" t="str">
        <f aca="false">IFERROR(__xludf.dummyfunction("""COMPUTED_VALUE"""),"Atrasado")</f>
        <v>Atrasado</v>
      </c>
    </row>
    <row r="43" customFormat="false" ht="14.25" hidden="false" customHeight="false" outlineLevel="0" collapsed="false">
      <c r="A43" s="18" t="str">
        <f aca="false">IFERROR(MID(D43,1,FIND("|",D43)-1)&amp;"-"&amp;C43,"")</f>
        <v>AICI202210-11-2-3</v>
      </c>
      <c r="B43" s="19" t="n">
        <f aca="false">IFERROR(__xludf.dummyfunction("""COMPUTED_VALUE"""),45120)</f>
        <v>45120</v>
      </c>
      <c r="C43" s="0" t="n">
        <f aca="false">IFERROR(__xludf.dummyfunction("""COMPUTED_VALUE"""),3)</f>
        <v>3</v>
      </c>
      <c r="D43" s="0" t="str">
        <f aca="false">IFERROR(__xludf.dummyfunction("""COMPUTED_VALUE"""),"AICI202210-11-2| H: Elaborar y diligenciar la matriz de activos de información de acuerdo a la Guía de MinTIC y al procedimiento documentado (01/04/2023 - 30/06/2023)")</f>
        <v>AICI202210-11-2| H: Elaborar y diligenciar la matriz de activos de información de acuerdo a la Guía de MinTIC y al procedimiento documentado (01/04/2023 - 30/06/2023)</v>
      </c>
      <c r="E43" s="0" t="str">
        <f aca="false">IFERROR(__xludf.dummyfunction("""COMPUTED_VALUE"""),"A la fecha del presente seguimiento se cuenta con una base de datos con más de 1.900 registros de activos de información, en versión preliminar.   Se anexa la matriz con el inventario de activos de información.")</f>
        <v>A la fecha del presente seguimiento se cuenta con una base de datos con más de 1.900 registros de activos de información, en versión preliminar.   Se anexa la matriz con el inventario de activos de información.</v>
      </c>
      <c r="F43" s="0" t="str">
        <f aca="false">IFERROR(__xludf.dummyfunction("""COMPUTED_VALUE"""),"Completo")</f>
        <v>Completo</v>
      </c>
      <c r="G43" s="0" t="str">
        <f aca="false">IFERROR(__xludf.dummyfunction("""COMPUTED_VALUE"""),"Sí")</f>
        <v>Sí</v>
      </c>
    </row>
    <row r="44" customFormat="false" ht="14.25" hidden="false" customHeight="false" outlineLevel="0" collapsed="false">
      <c r="A44" s="18" t="str">
        <f aca="false">IFERROR(MID(D44,1,FIND("|",D44)-1)&amp;"-"&amp;C44,"")</f>
        <v>AICI202210-12-2-3</v>
      </c>
      <c r="B44" s="19" t="n">
        <f aca="false">IFERROR(__xludf.dummyfunction("""COMPUTED_VALUE"""),45120)</f>
        <v>45120</v>
      </c>
      <c r="C44" s="0" t="n">
        <f aca="false">IFERROR(__xludf.dummyfunction("""COMPUTED_VALUE"""),3)</f>
        <v>3</v>
      </c>
      <c r="D44" s="0" t="str">
        <f aca="false">IFERROR(__xludf.dummyfunction("""COMPUTED_VALUE"""),"AICI202210-12-2| P: Aprobar el manual de políticas de seguridad de la información (01/04/2023 - 30/04/2023)")</f>
        <v>AICI202210-12-2| P: Aprobar el manual de políticas de seguridad de la información (01/04/2023 - 30/04/2023)</v>
      </c>
      <c r="E44" s="0" t="str">
        <f aca="false">IFERROR(__xludf.dummyfunction("""COMPUTED_VALUE"""),"El manual de políticas de seguridad de la información, fue aprobado en el comité de gestión y desempeño del 7 de julio de la actual vigencia.  Se anexa el acta del comité ")</f>
        <v>El manual de políticas de seguridad de la información, fue aprobado en el comité de gestión y desempeño del 7 de julio de la actual vigencia.  Se anexa el acta del comité </v>
      </c>
      <c r="F44" s="0" t="str">
        <f aca="false">IFERROR(__xludf.dummyfunction("""COMPUTED_VALUE"""),"Completo")</f>
        <v>Completo</v>
      </c>
      <c r="G44" s="0" t="str">
        <f aca="false">IFERROR(__xludf.dummyfunction("""COMPUTED_VALUE"""),"Sí")</f>
        <v>Sí</v>
      </c>
    </row>
    <row r="45" customFormat="false" ht="14.25" hidden="false" customHeight="false" outlineLevel="0" collapsed="false">
      <c r="A45" s="18" t="str">
        <f aca="false">IFERROR(MID(D45,1,FIND("|",D45)-1)&amp;"-"&amp;C45,"")</f>
        <v>AICI202210-12-3-3</v>
      </c>
      <c r="B45" s="19" t="n">
        <f aca="false">IFERROR(__xludf.dummyfunction("""COMPUTED_VALUE"""),45120)</f>
        <v>45120</v>
      </c>
      <c r="C45" s="0" t="n">
        <f aca="false">IFERROR(__xludf.dummyfunction("""COMPUTED_VALUE"""),3)</f>
        <v>3</v>
      </c>
      <c r="D45" s="0" t="str">
        <f aca="false">IFERROR(__xludf.dummyfunction("""COMPUTED_VALUE"""),"AICI202210-12-3| H: Formular herramienta para realizar el reporte oportuno de retiro de personal y su inactivación de los sistemas de información (01/05/2023 - 31/05/2023)")</f>
        <v>AICI202210-12-3| H: Formular herramienta para realizar el reporte oportuno de retiro de personal y su inactivación de los sistemas de información (01/05/2023 - 31/05/2023)</v>
      </c>
      <c r="E45" s="0" t="str">
        <f aca="false">IFERROR(__xludf.dummyfunction("""COMPUTED_VALUE"""),"No se evidencia la elaboración de herramienta para el reporte oportuno de retiro de personal y su inactivación de los sistemas de información y servicios.")</f>
        <v>No se evidencia la elaboración de herramienta para el reporte oportuno de retiro de personal y su inactivación de los sistemas de información y servicios.</v>
      </c>
      <c r="F45" s="0" t="str">
        <f aca="false">IFERROR(__xludf.dummyfunction("""COMPUTED_VALUE"""),"Atrasado")</f>
        <v>Atrasado</v>
      </c>
    </row>
    <row r="46" customFormat="false" ht="14.25" hidden="false" customHeight="false" outlineLevel="0" collapsed="false">
      <c r="A46" s="18" t="str">
        <f aca="false">IFERROR(MID(D46,1,FIND("|",D46)-1)&amp;"-"&amp;C46,"")</f>
        <v>AICI202210-12-4-3</v>
      </c>
      <c r="B46" s="19" t="n">
        <f aca="false">IFERROR(__xludf.dummyfunction("""COMPUTED_VALUE"""),45120)</f>
        <v>45120</v>
      </c>
      <c r="C46" s="0" t="n">
        <f aca="false">IFERROR(__xludf.dummyfunction("""COMPUTED_VALUE"""),3)</f>
        <v>3</v>
      </c>
      <c r="D46" s="0" t="str">
        <f aca="false">IFERROR(__xludf.dummyfunction("""COMPUTED_VALUE"""),"AICI202210-12-4| H: Socializar el manual de políticas de seguridad de la información y el instructivo de creación, modificación e inactivación de u (01/06/2023 - 30/06/2023)")</f>
        <v>AICI202210-12-4| H: Socializar el manual de políticas de seguridad de la información y el instructivo de creación, modificación e inactivación de u (01/06/2023 - 30/06/2023)</v>
      </c>
      <c r="E46" s="0" t="str">
        <f aca="false">IFERROR(__xludf.dummyfunction("""COMPUTED_VALUE"""),"En reunión del 11 de julio de 2023, se evidencia la socialización del documento AP-GI-M-02-02, manual de políticas de seguridad de la información. ")</f>
        <v>En reunión del 11 de julio de 2023, se evidencia la socialización del documento AP-GI-M-02-02, manual de políticas de seguridad de la información. </v>
      </c>
      <c r="F46" s="0" t="str">
        <f aca="false">IFERROR(__xludf.dummyfunction("""COMPUTED_VALUE"""),"Completo")</f>
        <v>Completo</v>
      </c>
      <c r="G46" s="0" t="str">
        <f aca="false">IFERROR(__xludf.dummyfunction("""COMPUTED_VALUE"""),"Sí")</f>
        <v>Sí</v>
      </c>
    </row>
    <row r="47" customFormat="false" ht="14.25" hidden="false" customHeight="false" outlineLevel="0" collapsed="false">
      <c r="A47" s="18" t="str">
        <f aca="false">IFERROR(MID(D47,1,FIND("|",D47)-1)&amp;"-"&amp;C47,"")</f>
        <v>AICI202210-13-2-3</v>
      </c>
      <c r="B47" s="19" t="n">
        <f aca="false">IFERROR(__xludf.dummyfunction("""COMPUTED_VALUE"""),45120)</f>
        <v>45120</v>
      </c>
      <c r="C47" s="0" t="n">
        <f aca="false">IFERROR(__xludf.dummyfunction("""COMPUTED_VALUE"""),3)</f>
        <v>3</v>
      </c>
      <c r="D47" s="0" t="str">
        <f aca="false">IFERROR(__xludf.dummyfunction("""COMPUTED_VALUE"""),"AICI202210-13-2| H: Actualizar el Instructivo de generación y restauración de copias de seguridad (01/03/2023 - 30/04/2023)")</f>
        <v>AICI202210-13-2| H: Actualizar el Instructivo de generación y restauración de copias de seguridad (01/03/2023 - 30/04/2023)</v>
      </c>
      <c r="E47" s="0" t="str">
        <f aca="false">IFERROR(__xludf.dummyfunction("""COMPUTED_VALUE"""),"El instructivo de copias de seguridad se encuentra en modificación, no se tiene definido los procedimientos ni los esquemas de backup para los servicios alojados en la nube.  Se recomienda que se de claridad sobre los backups de aplicaciones y servicios a"&amp;"lojados en cloud.")</f>
        <v>El instructivo de copias de seguridad se encuentra en modificación, no se tiene definido los procedimientos ni los esquemas de backup para los servicios alojados en la nube.  Se recomienda que se de claridad sobre los backups de aplicaciones y servicios alojados en cloud.</v>
      </c>
      <c r="F47" s="0" t="str">
        <f aca="false">IFERROR(__xludf.dummyfunction("""COMPUTED_VALUE"""),"Atrasado")</f>
        <v>Atrasado</v>
      </c>
    </row>
    <row r="48" customFormat="false" ht="14.25" hidden="false" customHeight="false" outlineLevel="0" collapsed="false">
      <c r="A48" s="18" t="str">
        <f aca="false">IFERROR(MID(D48,1,FIND("|",D48)-1)&amp;"-"&amp;C48,"")</f>
        <v>AICI202210-15-1-3</v>
      </c>
      <c r="B48" s="19" t="n">
        <f aca="false">IFERROR(__xludf.dummyfunction("""COMPUTED_VALUE"""),45120)</f>
        <v>45120</v>
      </c>
      <c r="C48" s="0" t="n">
        <f aca="false">IFERROR(__xludf.dummyfunction("""COMPUTED_VALUE"""),3)</f>
        <v>3</v>
      </c>
      <c r="D48" s="0" t="str">
        <f aca="false">IFERROR(__xludf.dummyfunction("""COMPUTED_VALUE"""),"AICI202210-15-1| P: Diseñar un plan de mantenimiento preventivo y correctivo a los centros de cableado y cuartos de comunicaciones, incluyendo ... (01/03/2023 - 30/04/2023)")</f>
        <v>AICI202210-15-1| P: Diseñar un plan de mantenimiento preventivo y correctivo a los centros de cableado y cuartos de comunicaciones, incluyendo ... (01/03/2023 - 30/04/2023)</v>
      </c>
      <c r="E48" s="0" t="str">
        <f aca="false">IFERROR(__xludf.dummyfunction("""COMPUTED_VALUE"""),"En el cronograma de mantenimiento 2023, se observa programación para 6 centros de cableado.  Falta la programación para los 20 restantes.")</f>
        <v>En el cronograma de mantenimiento 2023, se observa programación para 6 centros de cableado.  Falta la programación para los 20 restantes.</v>
      </c>
      <c r="F48" s="0" t="str">
        <f aca="false">IFERROR(__xludf.dummyfunction("""COMPUTED_VALUE"""),"Atrasado")</f>
        <v>Atrasado</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1792</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AICI202209-1-1-1</v>
      </c>
      <c r="B4" s="19" t="n">
        <f aca="false">IFERROR(__xludf.dummyfunction("""COMPUTED_VALUE"""),44937)</f>
        <v>44937</v>
      </c>
      <c r="C4" s="0" t="n">
        <f aca="false">IFERROR(__xludf.dummyfunction("""COMPUTED_VALUE"""),1)</f>
        <v>1</v>
      </c>
      <c r="D4" s="0" t="str">
        <f aca="false">IFERROR(__xludf.dummyfunction("""COMPUTED_VALUE"""),"AICI202209-1-1| P-Revisar e identificar los aspectos que requieren actualización en el documento (10/08/2022 - 10/09/2022)")</f>
        <v>AICI202209-1-1| P-Revisar e identificar los aspectos que requieren actualización en el documento (10/08/2022 - 10/09/2022)</v>
      </c>
      <c r="E4" s="0" t="str">
        <f aca="false">IFERROR(__xludf.dummyfunction("""COMPUTED_VALUE"""),"El 11 de octubre de 2022, se realizó una reunión donde se identificaron los aspectos a actualizar en el instructivo AP_TH_I-01-01 del instructivo del reporte de accidentes de trabajo.")</f>
        <v>El 11 de octubre de 2022, se realizó una reunión donde se identificaron los aspectos a actualizar en el instructivo AP_TH_I-01-01 del instructivo del reporte de accidentes de trabajo.</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AICI202209-1-2-1</v>
      </c>
      <c r="B5" s="19" t="n">
        <f aca="false">IFERROR(__xludf.dummyfunction("""COMPUTED_VALUE"""),44937)</f>
        <v>44937</v>
      </c>
      <c r="C5" s="0" t="n">
        <f aca="false">IFERROR(__xludf.dummyfunction("""COMPUTED_VALUE"""),1)</f>
        <v>1</v>
      </c>
      <c r="D5" s="0" t="str">
        <f aca="false">IFERROR(__xludf.dummyfunction("""COMPUTED_VALUE"""),"AICI202209-1-2| H-Realizar la actualización de los documentos de reporte de accidente de trabajo y enfermedad laboral (11/09/2022 - 10/10/2022)")</f>
        <v>AICI202209-1-2| H-Realizar la actualización de los documentos de reporte de accidente de trabajo y enfermedad laboral (11/09/2022 - 10/10/2022)</v>
      </c>
      <c r="E5" s="0" t="str">
        <f aca="false">IFERROR(__xludf.dummyfunction("""COMPUTED_VALUE"""),"Se realizó la actualización del instructivo para el reporte accidentes de trabajo AP-TH-I-01-01 El 15 de octubre de 2022 en donde se debe especificar dentro de las enfermedades infecto contagiosas el COVID-19")</f>
        <v>Se realizó la actualización del instructivo para el reporte accidentes de trabajo AP-TH-I-01-01 El 15 de octubre de 2022 en donde se debe especificar dentro de las enfermedades infecto contagiosas el COVID-19</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AICI202209-1-3-1</v>
      </c>
      <c r="B6" s="19" t="n">
        <f aca="false">IFERROR(__xludf.dummyfunction("""COMPUTED_VALUE"""),44937)</f>
        <v>44937</v>
      </c>
      <c r="C6" s="0" t="n">
        <f aca="false">IFERROR(__xludf.dummyfunction("""COMPUTED_VALUE"""),1)</f>
        <v>1</v>
      </c>
      <c r="D6" s="0" t="str">
        <f aca="false">IFERROR(__xludf.dummyfunction("""COMPUTED_VALUE"""),"AICI202209-1-3| V-Remitir el documento actualizado a normalización para formalizarlo (11/10/2022 - 20/10/2022)")</f>
        <v>AICI202209-1-3| V-Remitir el documento actualizado a normalización para formalizarlo (11/10/2022 - 20/10/2022)</v>
      </c>
      <c r="E6" s="0" t="str">
        <f aca="false">IFERROR(__xludf.dummyfunction("""COMPUTED_VALUE"""),"El 26 de diciembre se remitió el instructivo actualizado del reporte de accidente de trabajo para su normalización")</f>
        <v>El 26 de diciembre se remitió el instructivo actualizado del reporte de accidente de trabajo para su normalización</v>
      </c>
      <c r="F6" s="0" t="str">
        <f aca="false">IFERROR(__xludf.dummyfunction("""COMPUTED_VALUE"""),"Completo")</f>
        <v>Completo</v>
      </c>
      <c r="G6" s="0" t="str">
        <f aca="false">IFERROR(__xludf.dummyfunction("""COMPUTED_VALUE"""),"Sí")</f>
        <v>Sí</v>
      </c>
    </row>
    <row r="7" customFormat="false" ht="14.25" hidden="false" customHeight="false" outlineLevel="0" collapsed="false">
      <c r="A7" s="18" t="str">
        <f aca="false">IFERROR(MID(D7,1,FIND("|",D7)-1)&amp;"-"&amp;C7,"")</f>
        <v>AICI202209-1-4-1</v>
      </c>
      <c r="B7" s="19" t="n">
        <f aca="false">IFERROR(__xludf.dummyfunction("""COMPUTED_VALUE"""),44937)</f>
        <v>44937</v>
      </c>
      <c r="C7" s="0" t="n">
        <f aca="false">IFERROR(__xludf.dummyfunction("""COMPUTED_VALUE"""),1)</f>
        <v>1</v>
      </c>
      <c r="D7" s="0" t="str">
        <f aca="false">IFERROR(__xludf.dummyfunction("""COMPUTED_VALUE"""),"AICI202209-1-4| A-Verificar normalización del documento y darlo a conocer a través de intranet o correo electrónico (20/10/2022 - 20/11/2022)")</f>
        <v>AICI202209-1-4| A-Verificar normalización del documento y darlo a conocer a través de intranet o correo electrónico (20/10/2022 - 20/11/2022)</v>
      </c>
      <c r="E7" s="0" t="str">
        <f aca="false">IFERROR(__xludf.dummyfunction("""COMPUTED_VALUE"""),"El área de SSST esta en espera de la normalización del instructivo para poderlo socializar.")</f>
        <v>El área de SSST esta en espera de la normalización del instructivo para poderlo socializar.</v>
      </c>
      <c r="F7" s="0" t="str">
        <f aca="false">IFERROR(__xludf.dummyfunction("""COMPUTED_VALUE"""),"Atrasado")</f>
        <v>Atrasado</v>
      </c>
    </row>
    <row r="8" customFormat="false" ht="14.25" hidden="false" customHeight="false" outlineLevel="0" collapsed="false">
      <c r="A8" s="18" t="str">
        <f aca="false">IFERROR(MID(D8,1,FIND("|",D8)-1)&amp;"-"&amp;C8,"")</f>
        <v>AICI202209-2-1-1</v>
      </c>
      <c r="B8" s="19" t="n">
        <f aca="false">IFERROR(__xludf.dummyfunction("""COMPUTED_VALUE"""),44937)</f>
        <v>44937</v>
      </c>
      <c r="C8" s="0" t="n">
        <f aca="false">IFERROR(__xludf.dummyfunction("""COMPUTED_VALUE"""),1)</f>
        <v>1</v>
      </c>
      <c r="D8" s="0" t="str">
        <f aca="false">IFERROR(__xludf.dummyfunction("""COMPUTED_VALUE"""),"AICI202209-2-1| P-Revisar e identificar los casos de colaboradores que no tengan calificación de origen del evento por COVID19 (10/08/2022 - 10/09/2022)")</f>
        <v>AICI202209-2-1| P-Revisar e identificar los casos de colaboradores que no tengan calificación de origen del evento por COVID19 (10/08/2022 - 10/09/2022)</v>
      </c>
      <c r="E8" s="0" t="str">
        <f aca="false">IFERROR(__xludf.dummyfunction("""COMPUTED_VALUE"""),"El 11 de octubre de 2022 se realizo la revisión de los compromisos para revisar e identificar los casos de los colaboradores que no tengan calificación en el evento COVID 19 ")</f>
        <v>El 11 de octubre de 2022 se realizo la revisión de los compromisos para revisar e identificar los casos de los colaboradores que no tengan calificación en el evento COVID 19 </v>
      </c>
      <c r="F8" s="0" t="str">
        <f aca="false">IFERROR(__xludf.dummyfunction("""COMPUTED_VALUE"""),"Completo")</f>
        <v>Completo</v>
      </c>
      <c r="G8" s="0" t="str">
        <f aca="false">IFERROR(__xludf.dummyfunction("""COMPUTED_VALUE"""),"Sí")</f>
        <v>Sí</v>
      </c>
    </row>
    <row r="9" customFormat="false" ht="14.25" hidden="false" customHeight="false" outlineLevel="0" collapsed="false">
      <c r="A9" s="18" t="str">
        <f aca="false">IFERROR(MID(D9,1,FIND("|",D9)-1)&amp;"-"&amp;C9,"")</f>
        <v>AICI202209-2-2-1</v>
      </c>
      <c r="B9" s="19" t="n">
        <f aca="false">IFERROR(__xludf.dummyfunction("""COMPUTED_VALUE"""),44937)</f>
        <v>44937</v>
      </c>
      <c r="C9" s="0" t="n">
        <f aca="false">IFERROR(__xludf.dummyfunction("""COMPUTED_VALUE"""),1)</f>
        <v>1</v>
      </c>
      <c r="D9" s="0" t="str">
        <f aca="false">IFERROR(__xludf.dummyfunction("""COMPUTED_VALUE"""),"AICI202209-2-2| H-Solicitar a las ARL el estado actual de los casos no calificados (11/09/2022 - 10/10/2022)")</f>
        <v>AICI202209-2-2| H-Solicitar a las ARL el estado actual de los casos no calificados (11/09/2022 - 10/10/2022)</v>
      </c>
      <c r="E9" s="0" t="str">
        <f aca="false">IFERROR(__xludf.dummyfunction("""COMPUTED_VALUE"""),"en el mes de octubre de 2022 se solicitó a SURA, Positiva, Colmena y Seguros Bolívar la notificación de calificación de origen.")</f>
        <v>en el mes de octubre de 2022 se solicitó a SURA, Positiva, Colmena y Seguros Bolívar la notificación de calificación de origen.</v>
      </c>
      <c r="F9" s="0" t="str">
        <f aca="false">IFERROR(__xludf.dummyfunction("""COMPUTED_VALUE"""),"Completo")</f>
        <v>Completo</v>
      </c>
      <c r="G9" s="0" t="str">
        <f aca="false">IFERROR(__xludf.dummyfunction("""COMPUTED_VALUE"""),"Sí")</f>
        <v>Sí</v>
      </c>
    </row>
    <row r="10" customFormat="false" ht="14.25" hidden="false" customHeight="false" outlineLevel="0" collapsed="false">
      <c r="A10" s="18" t="str">
        <f aca="false">IFERROR(MID(D10,1,FIND("|",D10)-1)&amp;"-"&amp;C10,"")</f>
        <v>AICI202209-2-3-1</v>
      </c>
      <c r="B10" s="19" t="n">
        <f aca="false">IFERROR(__xludf.dummyfunction("""COMPUTED_VALUE"""),44937)</f>
        <v>44937</v>
      </c>
      <c r="C10" s="0" t="n">
        <f aca="false">IFERROR(__xludf.dummyfunction("""COMPUTED_VALUE"""),1)</f>
        <v>1</v>
      </c>
      <c r="D10" s="0" t="str">
        <f aca="false">IFERROR(__xludf.dummyfunction("""COMPUTED_VALUE"""),"AICI202209-2-3| V-De acuerdo a la respuesta de las ARL generar las acciones de alcance al SGSST del proceso para recibir respuesta en ... (11/10/2022 - 20/12/2022)")</f>
        <v>AICI202209-2-3| V-De acuerdo a la respuesta de las ARL generar las acciones de alcance al SGSST del proceso para recibir respuesta en ... (11/10/2022 - 20/12/2022)</v>
      </c>
      <c r="E10" s="0" t="str">
        <f aca="false">IFERROR(__xludf.dummyfunction("""COMPUTED_VALUE"""),"El 26 de diciembre se revisaron las respuestas de las ARL Positiva y Sura las cuales se encuentran en proceso de revisión y validación y se espera terminar dichos procesos el 13 de enero de 2023.  Faltan las respuestas de Colmena y Seguros Bolívar.")</f>
        <v>El 26 de diciembre se revisaron las respuestas de las ARL Positiva y Sura las cuales se encuentran en proceso de revisión y validación y se espera terminar dichos procesos el 13 de enero de 2023.  Faltan las respuestas de Colmena y Seguros Bolívar.</v>
      </c>
      <c r="F10" s="0" t="str">
        <f aca="false">IFERROR(__xludf.dummyfunction("""COMPUTED_VALUE"""),"Atrasado")</f>
        <v>Atrasado</v>
      </c>
    </row>
    <row r="11" customFormat="false" ht="14.25" hidden="false" customHeight="false" outlineLevel="0" collapsed="false">
      <c r="A11" s="18" t="str">
        <f aca="false">IFERROR(MID(D11,1,FIND("|",D11)-1)&amp;"-"&amp;C11,"")</f>
        <v>AICI202209-2-4-1</v>
      </c>
      <c r="B11" s="19" t="n">
        <f aca="false">IFERROR(__xludf.dummyfunction("""COMPUTED_VALUE"""),44937)</f>
        <v>44937</v>
      </c>
      <c r="C11" s="0" t="n">
        <f aca="false">IFERROR(__xludf.dummyfunction("""COMPUTED_VALUE"""),1)</f>
        <v>1</v>
      </c>
      <c r="D11" s="0" t="str">
        <f aca="false">IFERROR(__xludf.dummyfunction("""COMPUTED_VALUE"""),"AICI202209-2-4| A-Realizar seguimiento para identificar casos restantes por calificación de origen y solicitar nuevamente respuesta por las ARL (20/12/2022 - 30/12/2022)")</f>
        <v>AICI202209-2-4| A-Realizar seguimiento para identificar casos restantes por calificación de origen y solicitar nuevamente respuesta por las ARL (20/12/2022 - 30/12/2022)</v>
      </c>
      <c r="E11" s="0" t="str">
        <f aca="false">IFERROR(__xludf.dummyfunction("""COMPUTED_VALUE"""),"Esta actividad se realizará una vez las ARL den respuesta y se realice la respectiva verificación y validación.")</f>
        <v>Esta actividad se realizará una vez las ARL den respuesta y se realice la respectiva verificación y validación.</v>
      </c>
      <c r="F11" s="0" t="str">
        <f aca="false">IFERROR(__xludf.dummyfunction("""COMPUTED_VALUE"""),"Atrasado")</f>
        <v>Atrasado</v>
      </c>
    </row>
    <row r="12" customFormat="false" ht="14.25" hidden="false" customHeight="false" outlineLevel="0" collapsed="false">
      <c r="A12" s="18" t="str">
        <f aca="false">IFERROR(MID(D12,1,FIND("|",D12)-1)&amp;"-"&amp;C12,"")</f>
        <v>AICI202209-1-4-2</v>
      </c>
      <c r="B12" s="19" t="n">
        <f aca="false">IFERROR(__xludf.dummyfunction("""COMPUTED_VALUE"""),45033)</f>
        <v>45033</v>
      </c>
      <c r="C12" s="0" t="n">
        <f aca="false">IFERROR(__xludf.dummyfunction("""COMPUTED_VALUE"""),2)</f>
        <v>2</v>
      </c>
      <c r="D12" s="0" t="str">
        <f aca="false">IFERROR(__xludf.dummyfunction("""COMPUTED_VALUE"""),"AICI202209-1-4| A-Verificar normalización del documento y darlo a conocer a través de intranet o correo electrónico (20/10/2022 - 20/11/2022)")</f>
        <v>AICI202209-1-4| A-Verificar normalización del documento y darlo a conocer a través de intranet o correo electrónico (20/10/2022 - 20/11/2022)</v>
      </c>
      <c r="E12" s="0" t="str">
        <f aca="false">IFERROR(__xludf.dummyfunction("""COMPUTED_VALUE"""),"Se normalizo el documento, se encuentra en ALMERA con el código: AP-TH-I-01-02. En las actividades de prevención de riesgo biológico se informa sobre el reporte de accidentes laborales.")</f>
        <v>Se normalizo el documento, se encuentra en ALMERA con el código: AP-TH-I-01-02. En las actividades de prevención de riesgo biológico se informa sobre el reporte de accidentes laborales.</v>
      </c>
      <c r="F12" s="0" t="str">
        <f aca="false">IFERROR(__xludf.dummyfunction("""COMPUTED_VALUE"""),"Completo")</f>
        <v>Completo</v>
      </c>
      <c r="G12" s="0" t="str">
        <f aca="false">IFERROR(__xludf.dummyfunction("""COMPUTED_VALUE"""),"Sí")</f>
        <v>Sí</v>
      </c>
    </row>
    <row r="13" customFormat="false" ht="14.25" hidden="false" customHeight="false" outlineLevel="0" collapsed="false">
      <c r="A13" s="18" t="str">
        <f aca="false">IFERROR(MID(D13,1,FIND("|",D13)-1)&amp;"-"&amp;C13,"")</f>
        <v>AICI202209-2-3-2</v>
      </c>
      <c r="B13" s="19" t="n">
        <f aca="false">IFERROR(__xludf.dummyfunction("""COMPUTED_VALUE"""),45033)</f>
        <v>45033</v>
      </c>
      <c r="C13" s="0" t="n">
        <f aca="false">IFERROR(__xludf.dummyfunction("""COMPUTED_VALUE"""),2)</f>
        <v>2</v>
      </c>
      <c r="D13" s="0" t="str">
        <f aca="false">IFERROR(__xludf.dummyfunction("""COMPUTED_VALUE"""),"AICI202209-2-3| V-De acuerdo a la respuesta de las ARL generar las acciones de alcance al SGSST del proceso para recibir respuesta en ... (11/10/2022 - 20/12/2022)")</f>
        <v>AICI202209-2-3| V-De acuerdo a la respuesta de las ARL generar las acciones de alcance al SGSST del proceso para recibir respuesta en ... (11/10/2022 - 20/12/2022)</v>
      </c>
      <c r="E13" s="0" t="str">
        <f aca="false">IFERROR(__xludf.dummyfunction("""COMPUTED_VALUE"""),"El área de Talento Humano ha realizado gestión logrando los siguientes resultados de 979 casos reportados de Covid 19, 194 no cumplen criterios para ser reportados a la ARL como exposición ocupacional. Se tiene determinación de origen de 387 casos (319 co"&amp;"n calificación de enfermedad laboral y 68 con calificación como de origen común), pendientes por calificar 399 casos ( ARL SURA 363 casos, ARL POSITIVA 31 casos,  ARL BOLIVAR 4 casos, ARL COLMENA 1 caso) Por lo anterior se establece nuevamente la necesida"&amp;"d de solicitar a las diferentes ARL la siniestralidad cargada a la Entidad, así como la firmeza de los casos reportados como de origen ya determinado. Este es un proceso dinámico y cada vez que se presenten casos se requiere solicitar concepto a las ARL. "&amp;"  ")</f>
        <v>El área de Talento Humano ha realizado gestión logrando los siguientes resultados de 979 casos reportados de Covid 19, 194 no cumplen criterios para ser reportados a la ARL como exposición ocupacional. Se tiene determinación de origen de 387 casos (319 con calificación de enfermedad laboral y 68 con calificación como de origen común), pendientes por calificar 399 casos ( ARL SURA 363 casos, ARL POSITIVA 31 casos,  ARL BOLIVAR 4 casos, ARL COLMENA 1 caso) Por lo anterior se establece nuevamente la necesidad de solicitar a las diferentes ARL la siniestralidad cargada a la Entidad, así como la firmeza de los casos reportados como de origen ya determinado. Este es un proceso dinámico y cada vez que se presenten casos se requiere solicitar concepto a las ARL.   </v>
      </c>
      <c r="F13" s="0" t="str">
        <f aca="false">IFERROR(__xludf.dummyfunction("""COMPUTED_VALUE"""),"Completo")</f>
        <v>Completo</v>
      </c>
      <c r="G13" s="0" t="str">
        <f aca="false">IFERROR(__xludf.dummyfunction("""COMPUTED_VALUE"""),"No")</f>
        <v>No</v>
      </c>
    </row>
    <row r="14" customFormat="false" ht="14.25" hidden="false" customHeight="false" outlineLevel="0" collapsed="false">
      <c r="A14" s="18" t="str">
        <f aca="false">IFERROR(MID(D14,1,FIND("|",D14)-1)&amp;"-"&amp;C14,"")</f>
        <v>AICI202209-2-4-2</v>
      </c>
      <c r="B14" s="19" t="n">
        <f aca="false">IFERROR(__xludf.dummyfunction("""COMPUTED_VALUE"""),45033)</f>
        <v>45033</v>
      </c>
      <c r="C14" s="0" t="n">
        <f aca="false">IFERROR(__xludf.dummyfunction("""COMPUTED_VALUE"""),2)</f>
        <v>2</v>
      </c>
      <c r="D14" s="0" t="str">
        <f aca="false">IFERROR(__xludf.dummyfunction("""COMPUTED_VALUE"""),"AICI202209-2-4| A-Realizar seguimiento para identificar casos restantes por calificación de origen y solicitar nuevamente respuesta por las ARL (20/12/2022 - 30/12/2022)")</f>
        <v>AICI202209-2-4| A-Realizar seguimiento para identificar casos restantes por calificación de origen y solicitar nuevamente respuesta por las ARL (20/12/2022 - 30/12/2022)</v>
      </c>
      <c r="E14" s="0" t="str">
        <f aca="false">IFERROR(__xludf.dummyfunction("""COMPUTED_VALUE"""),"Talento Humano ha solicitado conceptos a las diferentes ARL de la siniestralidad cargada a la Entidad, así como la firmeza de los casos reportados como de origen ya determinado. 
La ARL SURA remitió el 15 de marzo, en correos masivos, 344 calificaciones l"&amp;"as cuales se están revisando para validar el origen y tener el estatus final de los casos.")</f>
        <v>Talento Humano ha solicitado conceptos a las diferentes ARL de la siniestralidad cargada a la Entidad, así como la firmeza de los casos reportados como de origen ya determinado. 
La ARL SURA remitió el 15 de marzo, en correos masivos, 344 calificaciones las cuales se están revisando para validar el origen y tener el estatus final de los casos.</v>
      </c>
      <c r="F14" s="0" t="str">
        <f aca="false">IFERROR(__xludf.dummyfunction("""COMPUTED_VALUE"""),"Atrasado")</f>
        <v>Atrasado</v>
      </c>
    </row>
    <row r="15" customFormat="false" ht="14.25" hidden="false" customHeight="false" outlineLevel="0" collapsed="false">
      <c r="A15" s="18" t="str">
        <f aca="false">IFERROR(MID(D15,1,FIND("|",D15)-1)&amp;"-"&amp;C15,"")</f>
        <v>AICI202209-2-4-3</v>
      </c>
      <c r="B15" s="19" t="n">
        <f aca="false">IFERROR(__xludf.dummyfunction("""COMPUTED_VALUE"""),45114)</f>
        <v>45114</v>
      </c>
      <c r="C15" s="0" t="n">
        <f aca="false">IFERROR(__xludf.dummyfunction("""COMPUTED_VALUE"""),3)</f>
        <v>3</v>
      </c>
      <c r="D15" s="0" t="str">
        <f aca="false">IFERROR(__xludf.dummyfunction("""COMPUTED_VALUE"""),"AICI202209-2-4| A-Realizar seguimiento para identificar casos restantes por calificación de origen y solicitar nuevamente respuesta por las ARL (20/12/2022 - 30/12/2022)")</f>
        <v>AICI202209-2-4| A-Realizar seguimiento para identificar casos restantes por calificación de origen y solicitar nuevamente respuesta por las ARL (20/12/2022 - 30/12/2022)</v>
      </c>
      <c r="E15" s="0" t="str">
        <f aca="false">IFERROR(__xludf.dummyfunction("""COMPUTED_VALUE"""),"De los 18 casos por calificar por la ARL SURA, remitieron la respuesta el 10/05/2023, en la cual se identifica que 7 casos fueron calificados de origen laboral y 11 de origen común.  Queda pendiente la respuesta por ARL Positiva de 29 casos, 5 Casos de AR"&amp;"L  Seguros Bolívar y 1 de ARL Colmena. Debido a que este proceso es dinámico se cierra la acción pero se siguiere levantar un procedimiento o un protocolo para realizar el seguimiento a la calificación de los casos.")</f>
        <v>De los 18 casos por calificar por la ARL SURA, remitieron la respuesta el 10/05/2023, en la cual se identifica que 7 casos fueron calificados de origen laboral y 11 de origen común.  Queda pendiente la respuesta por ARL Positiva de 29 casos, 5 Casos de ARL  Seguros Bolívar y 1 de ARL Colmena. Debido a que este proceso es dinámico se cierra la acción pero se siguiere levantar un procedimiento o un protocolo para realizar el seguimiento a la calificación de los casos.</v>
      </c>
      <c r="F15" s="0" t="str">
        <f aca="false">IFERROR(__xludf.dummyfunction("""COMPUTED_VALUE"""),"Completo")</f>
        <v>Completo</v>
      </c>
      <c r="G15" s="0" t="str">
        <f aca="false">IFERROR(__xludf.dummyfunction("""COMPUTED_VALUE"""),"No")</f>
        <v>No</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1793</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AICI202208-2-1-1</v>
      </c>
      <c r="B4" s="19" t="n">
        <f aca="false">IFERROR(__xludf.dummyfunction("""COMPUTED_VALUE"""),45033)</f>
        <v>45033</v>
      </c>
      <c r="C4" s="0" t="n">
        <f aca="false">IFERROR(__xludf.dummyfunction("""COMPUTED_VALUE"""),1)</f>
        <v>1</v>
      </c>
      <c r="D4" s="0" t="str">
        <f aca="false">IFERROR(__xludf.dummyfunction("""COMPUTED_VALUE"""),"AICI202208-2-1| Revisión y ajuste del manual de gestión de la tecnología (19/10/2022 - 31/12/2022)")</f>
        <v>AICI202208-2-1| Revisión y ajuste del manual de gestión de la tecnología (19/10/2022 - 31/12/2022)</v>
      </c>
      <c r="E4" s="0" t="str">
        <f aca="false">IFERROR(__xludf.dummyfunction("""COMPUTED_VALUE"""),"se realizo el ajuste y actualización del manual de Gestión de la tecnología , versión 07 de 30 de Diciembre de 2022, publicado en la web de la Entidad CÓDIGO: AP-AT-M-02-07")</f>
        <v>se realizo el ajuste y actualización del manual de Gestión de la tecnología , versión 07 de 30 de Diciembre de 2022, publicado en la web de la Entidad CÓDIGO: AP-AT-M-02-07</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AICI202208-2-2-1</v>
      </c>
      <c r="B5" s="19" t="n">
        <f aca="false">IFERROR(__xludf.dummyfunction("""COMPUTED_VALUE"""),45033)</f>
        <v>45033</v>
      </c>
      <c r="C5" s="0" t="n">
        <f aca="false">IFERROR(__xludf.dummyfunction("""COMPUTED_VALUE"""),1)</f>
        <v>1</v>
      </c>
      <c r="D5" s="0" t="str">
        <f aca="false">IFERROR(__xludf.dummyfunction("""COMPUTED_VALUE"""),"AICI202208-2-2| Seguimiento trimestral a la información plasmada y registrada en las bases de datos mediante doble chequeo por el líder del proceso (19/10/2022 - 31/03/2023)")</f>
        <v>AICI202208-2-2| Seguimiento trimestral a la información plasmada y registrada en las bases de datos mediante doble chequeo por el líder del proceso (19/10/2022 - 31/03/2023)</v>
      </c>
      <c r="E5" s="0" t="str">
        <f aca="false">IFERROR(__xludf.dummyfunction("""COMPUTED_VALUE"""),"Se realizó el seguimiento y verificación de los indicadores, matrices y demás entregables de los meses diciembre del 2022, enero y febrero del 2023. 
")</f>
        <v>Se realizó el seguimiento y verificación de los indicadores, matrices y demás entregables de los meses diciembre del 2022, enero y febrero del 2023. 
</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AICI202208-3-1-1</v>
      </c>
      <c r="B6" s="19" t="n">
        <f aca="false">IFERROR(__xludf.dummyfunction("""COMPUTED_VALUE"""),45033)</f>
        <v>45033</v>
      </c>
      <c r="C6" s="0" t="n">
        <f aca="false">IFERROR(__xludf.dummyfunction("""COMPUTED_VALUE"""),1)</f>
        <v>1</v>
      </c>
      <c r="D6" s="0" t="str">
        <f aca="false">IFERROR(__xludf.dummyfunction("""COMPUTED_VALUE"""),"AICI202208-3-1| Capacitación trimestral al personal interno sobre los procesos y procedimientos del área de biomédica midiendo la adherencia de ... (19/10/2022 - 31/12/2022)")</f>
        <v>AICI202208-3-1| Capacitación trimestral al personal interno sobre los procesos y procedimientos del área de biomédica midiendo la adherencia de ... (19/10/2022 - 31/12/2022)</v>
      </c>
      <c r="E6" s="0" t="str">
        <f aca="false">IFERROR(__xludf.dummyfunction("""COMPUTED_VALUE"""),"Se realizo las capacitaciones , en temas , como socializacion de Matriz detección de necesidades ,matriz de renovación y matriz de adquisición del área de ingeniería biomedica,equipo primario.")</f>
        <v>Se realizo las capacitaciones , en temas , como socializacion de Matriz detección de necesidades ,matriz de renovación y matriz de adquisición del área de ingeniería biomedica,equipo primario.</v>
      </c>
      <c r="F6" s="0" t="str">
        <f aca="false">IFERROR(__xludf.dummyfunction("""COMPUTED_VALUE"""),"Completo")</f>
        <v>Completo</v>
      </c>
      <c r="G6" s="0" t="str">
        <f aca="false">IFERROR(__xludf.dummyfunction("""COMPUTED_VALUE"""),"Sí")</f>
        <v>Sí</v>
      </c>
    </row>
    <row r="7" customFormat="false" ht="14.25" hidden="false" customHeight="false" outlineLevel="0" collapsed="false">
      <c r="A7" s="18" t="str">
        <f aca="false">IFERROR(MID(D7,1,FIND("|",D7)-1)&amp;"-"&amp;C7,"")</f>
        <v>AICI202208-3-1-1</v>
      </c>
      <c r="B7" s="19" t="n">
        <f aca="false">IFERROR(__xludf.dummyfunction("""COMPUTED_VALUE"""),45033)</f>
        <v>45033</v>
      </c>
      <c r="C7" s="0" t="n">
        <f aca="false">IFERROR(__xludf.dummyfunction("""COMPUTED_VALUE"""),1)</f>
        <v>1</v>
      </c>
      <c r="D7" s="0" t="str">
        <f aca="false">IFERROR(__xludf.dummyfunction("""COMPUTED_VALUE"""),"AICI202208-3-1| Capacitación trimestral al personal interno sobre los procesos y procedimientos del área de biomédica midiendo la adherencia de ... (19/10/2022 - 31/12/2022)")</f>
        <v>AICI202208-3-1| Capacitación trimestral al personal interno sobre los procesos y procedimientos del área de biomédica midiendo la adherencia de ... (19/10/2022 - 31/12/2022)</v>
      </c>
      <c r="E7" s="0" t="str">
        <f aca="false">IFERROR(__xludf.dummyfunction("""COMPUTED_VALUE"""),"se realizo las capacitaciones , en temas , como socializacion de Matriz detección de necesidades ,matriz de renovación y matriz de adquisición del área de ingeniería biomedica,equipo primario.")</f>
        <v>se realizo las capacitaciones , en temas , como socializacion de Matriz detección de necesidades ,matriz de renovación y matriz de adquisición del área de ingeniería biomedica,equipo primario.</v>
      </c>
      <c r="F7" s="0" t="str">
        <f aca="false">IFERROR(__xludf.dummyfunction("""COMPUTED_VALUE"""),"Completo")</f>
        <v>Completo</v>
      </c>
      <c r="G7" s="0" t="str">
        <f aca="false">IFERROR(__xludf.dummyfunction("""COMPUTED_VALUE"""),"Sí")</f>
        <v>Sí</v>
      </c>
    </row>
    <row r="8" customFormat="false" ht="14.25" hidden="false" customHeight="false" outlineLevel="0" collapsed="false">
      <c r="A8" s="18" t="str">
        <f aca="false">IFERROR(MID(D8,1,FIND("|",D8)-1)&amp;"-"&amp;C8,"")</f>
        <v>AICI202208-4-1-1</v>
      </c>
      <c r="B8" s="19" t="n">
        <f aca="false">IFERROR(__xludf.dummyfunction("""COMPUTED_VALUE"""),45033)</f>
        <v>45033</v>
      </c>
      <c r="C8" s="0" t="n">
        <f aca="false">IFERROR(__xludf.dummyfunction("""COMPUTED_VALUE"""),1)</f>
        <v>1</v>
      </c>
      <c r="D8" s="0" t="str">
        <f aca="false">IFERROR(__xludf.dummyfunction("""COMPUTED_VALUE"""),"AICI202208-4-1| Realización del inventario y depuración de la matriz de activos (19/10/2022 - 31/03/2023)")</f>
        <v>AICI202208-4-1| Realización del inventario y depuración de la matriz de activos (19/10/2022 - 31/03/2023)</v>
      </c>
      <c r="E8" s="0" t="str">
        <f aca="false">IFERROR(__xludf.dummyfunction("""COMPUTED_VALUE"""),"No se recibió información de cumplimiento de la acción propuesta en el Plan de mejoramiento.")</f>
        <v>No se recibió información de cumplimiento de la acción propuesta en el Plan de mejoramiento.</v>
      </c>
      <c r="F8" s="0" t="str">
        <f aca="false">IFERROR(__xludf.dummyfunction("""COMPUTED_VALUE"""),"Atrasado")</f>
        <v>Atrasado</v>
      </c>
    </row>
    <row r="9" customFormat="false" ht="14.25" hidden="false" customHeight="false" outlineLevel="0" collapsed="false">
      <c r="A9" s="18" t="str">
        <f aca="false">IFERROR(MID(D9,1,FIND("|",D9)-1)&amp;"-"&amp;C9,"")</f>
        <v>AICI202208-4-2-1</v>
      </c>
      <c r="B9" s="19" t="n">
        <f aca="false">IFERROR(__xludf.dummyfunction("""COMPUTED_VALUE"""),45033)</f>
        <v>45033</v>
      </c>
      <c r="C9" s="0" t="n">
        <f aca="false">IFERROR(__xludf.dummyfunction("""COMPUTED_VALUE"""),1)</f>
        <v>1</v>
      </c>
      <c r="D9" s="0" t="str">
        <f aca="false">IFERROR(__xludf.dummyfunction("""COMPUTED_VALUE"""),"AICI202208-4-2| Rediseño del procedimiento estableciendo controles que permitan mejorar su funcionamiento (19/10/2022 - 31/03/2023)")</f>
        <v>AICI202208-4-2| Rediseño del procedimiento estableciendo controles que permitan mejorar su funcionamiento (19/10/2022 - 31/03/2023)</v>
      </c>
      <c r="E9" s="0" t="str">
        <f aca="false">IFERROR(__xludf.dummyfunction("""COMPUTED_VALUE"""),"No se recibió información de cumplimiento de la acción propuesta en el Plan de Mejoramiento.")</f>
        <v>No se recibió información de cumplimiento de la acción propuesta en el Plan de Mejoramiento.</v>
      </c>
      <c r="F9" s="0" t="str">
        <f aca="false">IFERROR(__xludf.dummyfunction("""COMPUTED_VALUE"""),"Atrasado")</f>
        <v>Atrasado</v>
      </c>
    </row>
    <row r="10" customFormat="false" ht="14.25" hidden="false" customHeight="false" outlineLevel="0" collapsed="false">
      <c r="A10" s="18" t="str">
        <f aca="false">IFERROR(MID(D10,1,FIND("|",D10)-1)&amp;"-"&amp;C10,"")</f>
        <v>AICI202208-5-1-1</v>
      </c>
      <c r="B10" s="19" t="n">
        <f aca="false">IFERROR(__xludf.dummyfunction("""COMPUTED_VALUE"""),45033)</f>
        <v>45033</v>
      </c>
      <c r="C10" s="0" t="n">
        <f aca="false">IFERROR(__xludf.dummyfunction("""COMPUTED_VALUE"""),1)</f>
        <v>1</v>
      </c>
      <c r="D10" s="0" t="str">
        <f aca="false">IFERROR(__xludf.dummyfunction("""COMPUTED_VALUE"""),"AICI202208-5-1| Seguimiento y registro de los actos administrativos de bajas, para el retiro del sistema cada vez que se generen (19/10/2022 - 31/03/2023)")</f>
        <v>AICI202208-5-1| Seguimiento y registro de los actos administrativos de bajas, para el retiro del sistema cada vez que se generen (19/10/2022 - 31/03/2023)</v>
      </c>
      <c r="E10" s="0" t="str">
        <f aca="false">IFERROR(__xludf.dummyfunction("""COMPUTED_VALUE"""),"No se recibió información sobre el cumplimiento de la acción propuesta en el Plan de Mejoramiento.")</f>
        <v>No se recibió información sobre el cumplimiento de la acción propuesta en el Plan de Mejoramiento.</v>
      </c>
      <c r="F10" s="0" t="str">
        <f aca="false">IFERROR(__xludf.dummyfunction("""COMPUTED_VALUE"""),"Atrasado")</f>
        <v>Atrasado</v>
      </c>
    </row>
    <row r="11" customFormat="false" ht="14.25" hidden="false" customHeight="false" outlineLevel="0" collapsed="false">
      <c r="A11" s="18" t="str">
        <f aca="false">IFERROR(MID(D11,1,FIND("|",D11)-1)&amp;"-"&amp;C11,"")</f>
        <v>AICI202208-4-1-1</v>
      </c>
      <c r="B11" s="19" t="n">
        <f aca="false">IFERROR(__xludf.dummyfunction("""COMPUTED_VALUE"""),45033)</f>
        <v>45033</v>
      </c>
      <c r="C11" s="0" t="n">
        <f aca="false">IFERROR(__xludf.dummyfunction("""COMPUTED_VALUE"""),1)</f>
        <v>1</v>
      </c>
      <c r="D11" s="0" t="str">
        <f aca="false">IFERROR(__xludf.dummyfunction("""COMPUTED_VALUE"""),"AICI202208-4-1| Realización del inventario y depuración de la matriz de activos (19/10/2022 - 31/03/2023)")</f>
        <v>AICI202208-4-1| Realización del inventario y depuración de la matriz de activos (19/10/2022 - 31/03/2023)</v>
      </c>
      <c r="E11" s="0" t="str">
        <f aca="false">IFERROR(__xludf.dummyfunction("""COMPUTED_VALUE"""),"No se recibió información de cumplimiento de la acción propuesta en el plan de mejoramiento.")</f>
        <v>No se recibió información de cumplimiento de la acción propuesta en el plan de mejoramiento.</v>
      </c>
      <c r="F11" s="0" t="str">
        <f aca="false">IFERROR(__xludf.dummyfunction("""COMPUTED_VALUE"""),"Atrasado")</f>
        <v>Atrasado</v>
      </c>
    </row>
    <row r="12" customFormat="false" ht="14.25" hidden="false" customHeight="false" outlineLevel="0" collapsed="false">
      <c r="A12" s="18" t="str">
        <f aca="false">IFERROR(MID(D12,1,FIND("|",D12)-1)&amp;"-"&amp;C12,"")</f>
        <v>AICI202208-7-1-1</v>
      </c>
      <c r="B12" s="19" t="n">
        <f aca="false">IFERROR(__xludf.dummyfunction("""COMPUTED_VALUE"""),45033)</f>
        <v>45033</v>
      </c>
      <c r="C12" s="0" t="n">
        <f aca="false">IFERROR(__xludf.dummyfunction("""COMPUTED_VALUE"""),1)</f>
        <v>1</v>
      </c>
      <c r="D12" s="0" t="str">
        <f aca="false">IFERROR(__xludf.dummyfunction("""COMPUTED_VALUE"""),"AICI202208-7-1| Solicitar llevar a cabo dos (2) capacitaciones a los supervisores de contrato, en manejo y diligenciamiento de información contractual ... (19/10/2022 - 31/03/2023)")</f>
        <v>AICI202208-7-1| Solicitar llevar a cabo dos (2) capacitaciones a los supervisores de contrato, en manejo y diligenciamiento de información contractual ... (19/10/2022 - 31/03/2023)</v>
      </c>
      <c r="E12" s="0" t="str">
        <f aca="false">IFERROR(__xludf.dummyfunction("""COMPUTED_VALUE"""),"la dirección de contratación realizo la respectiva  capacitación a los supervisores  referente al proceso contractual, actas agosto, noviembre,")</f>
        <v>la dirección de contratación realizo la respectiva  capacitación a los supervisores  referente al proceso contractual, actas agosto, noviembre,</v>
      </c>
      <c r="F12" s="0" t="str">
        <f aca="false">IFERROR(__xludf.dummyfunction("""COMPUTED_VALUE"""),"Completo")</f>
        <v>Completo</v>
      </c>
      <c r="G12" s="0" t="str">
        <f aca="false">IFERROR(__xludf.dummyfunction("""COMPUTED_VALUE"""),"Sí")</f>
        <v>Sí</v>
      </c>
    </row>
    <row r="13" customFormat="false" ht="14.25" hidden="false" customHeight="false" outlineLevel="0" collapsed="false">
      <c r="A13" s="18" t="str">
        <f aca="false">IFERROR(MID(D13,1,FIND("|",D13)-1)&amp;"-"&amp;C13,"")</f>
        <v>AICI202208-6-1-1</v>
      </c>
      <c r="B13" s="19" t="n">
        <f aca="false">IFERROR(__xludf.dummyfunction("""COMPUTED_VALUE"""),45033)</f>
        <v>45033</v>
      </c>
      <c r="C13" s="0" t="n">
        <f aca="false">IFERROR(__xludf.dummyfunction("""COMPUTED_VALUE"""),1)</f>
        <v>1</v>
      </c>
      <c r="D13" s="0" t="str">
        <f aca="false">IFERROR(__xludf.dummyfunction("""COMPUTED_VALUE"""),"AICI202208-6-1| Realizar el proceso de depuración de los documentos en conjunto entre el área de normalización y los lideres de cada área del proceso ... (19/10/2022 - 31/03/2023)")</f>
        <v>AICI202208-6-1| Realizar el proceso de depuración de los documentos en conjunto entre el área de normalización y los lideres de cada área del proceso ... (19/10/2022 - 31/03/2023)</v>
      </c>
      <c r="E13" s="0" t="str">
        <f aca="false">IFERROR(__xludf.dummyfunction("""COMPUTED_VALUE"""),"No se recibió respuesta de cumplimiento de la acción propuesta en el plan de mejoramiento.")</f>
        <v>No se recibió respuesta de cumplimiento de la acción propuesta en el plan de mejoramiento.</v>
      </c>
      <c r="F13" s="0" t="str">
        <f aca="false">IFERROR(__xludf.dummyfunction("""COMPUTED_VALUE"""),"Atrasado")</f>
        <v>Atrasado</v>
      </c>
    </row>
    <row r="14" customFormat="false" ht="14.25" hidden="false" customHeight="false" outlineLevel="0" collapsed="false">
      <c r="A14" s="18" t="str">
        <f aca="false">IFERROR(MID(D14,1,FIND("|",D14)-1)&amp;"-"&amp;C14,"")</f>
        <v>AICI202208-4-1-2</v>
      </c>
      <c r="B14" s="19" t="n">
        <f aca="false">IFERROR(__xludf.dummyfunction("""COMPUTED_VALUE"""),45114)</f>
        <v>45114</v>
      </c>
      <c r="C14" s="0" t="n">
        <f aca="false">IFERROR(__xludf.dummyfunction("""COMPUTED_VALUE"""),2)</f>
        <v>2</v>
      </c>
      <c r="D14" s="0" t="str">
        <f aca="false">IFERROR(__xludf.dummyfunction("""COMPUTED_VALUE"""),"AICI202208-4-1| Realización del inventario y depuración de la matriz de activos (19/10/2022 - 31/03/2023)")</f>
        <v>AICI202208-4-1| Realización del inventario y depuración de la matriz de activos (19/10/2022 - 31/03/2023)</v>
      </c>
      <c r="E14" s="0" t="str">
        <f aca="false">IFERROR(__xludf.dummyfunction("""COMPUTED_VALUE"""),"Actualmente se está realizando toma física de bienes devolutivos y de consumo controlado, donde se expide una circula No. 009 de 2023, indicando que el proceso comenzó 01 de abril de 2023 por todas las unidades de la Subred Integrada de Salud Norte E.S.E."&amp;" se inició con las unidades de gran tamaño, donde debido a las novedades de personal no se ha logrado avanzar considerablemente, adicional a que el personal realiza varias tareas que involucran la Organización y actualización de los elementos en el sistem"&amp;"a con el fin de disminuir el numero de incidencias del inventario.")</f>
        <v>Actualmente se está realizando toma física de bienes devolutivos y de consumo controlado, donde se expide una circula No. 009 de 2023, indicando que el proceso comenzó 01 de abril de 2023 por todas las unidades de la Subred Integrada de Salud Norte E.S.E. se inició con las unidades de gran tamaño, donde debido a las novedades de personal no se ha logrado avanzar considerablemente, adicional a que el personal realiza varias tareas que involucran la Organización y actualización de los elementos en el sistema con el fin de disminuir el numero de incidencias del inventario.</v>
      </c>
      <c r="F14" s="0" t="str">
        <f aca="false">IFERROR(__xludf.dummyfunction("""COMPUTED_VALUE"""),"Atrasado")</f>
        <v>Atrasado</v>
      </c>
    </row>
    <row r="15" customFormat="false" ht="14.25" hidden="false" customHeight="false" outlineLevel="0" collapsed="false">
      <c r="A15" s="18" t="str">
        <f aca="false">IFERROR(MID(D15,1,FIND("|",D15)-1)&amp;"-"&amp;C15,"")</f>
        <v>AICI202208-4-2-2</v>
      </c>
      <c r="B15" s="19" t="n">
        <f aca="false">IFERROR(__xludf.dummyfunction("""COMPUTED_VALUE"""),45114)</f>
        <v>45114</v>
      </c>
      <c r="C15" s="0" t="n">
        <f aca="false">IFERROR(__xludf.dummyfunction("""COMPUTED_VALUE"""),2)</f>
        <v>2</v>
      </c>
      <c r="D15" s="0" t="str">
        <f aca="false">IFERROR(__xludf.dummyfunction("""COMPUTED_VALUE"""),"AICI202208-4-2| Rediseño del procedimiento estableciendo controles que permitan mejorar su funcionamiento (19/10/2022 - 31/03/2023)")</f>
        <v>AICI202208-4-2| Rediseño del procedimiento estableciendo controles que permitan mejorar su funcionamiento (19/10/2022 - 31/03/2023)</v>
      </c>
      <c r="E15" s="0" t="str">
        <f aca="false">IFERROR(__xludf.dummyfunction("""COMPUTED_VALUE"""),"Se realiza actualización del procedimiento de activos fijos, este procedimiento fue revisado por la Dirección de  desarrollo Institucional  y aprobado por el director administrativo el 8 de junio de 2023, actualmente, se encuentra en proceso de normalizac"&amp;"ión.")</f>
        <v>Se realiza actualización del procedimiento de activos fijos, este procedimiento fue revisado por la Dirección de  desarrollo Institucional  y aprobado por el director administrativo el 8 de junio de 2023, actualmente, se encuentra en proceso de normalización.</v>
      </c>
      <c r="F15" s="0" t="str">
        <f aca="false">IFERROR(__xludf.dummyfunction("""COMPUTED_VALUE"""),"Atrasado")</f>
        <v>Atrasado</v>
      </c>
    </row>
    <row r="16" customFormat="false" ht="14.25" hidden="false" customHeight="false" outlineLevel="0" collapsed="false">
      <c r="A16" s="18" t="str">
        <f aca="false">IFERROR(MID(D16,1,FIND("|",D16)-1)&amp;"-"&amp;C16,"")</f>
        <v>AICI202208-5-1-2</v>
      </c>
      <c r="B16" s="19" t="n">
        <f aca="false">IFERROR(__xludf.dummyfunction("""COMPUTED_VALUE"""),45114)</f>
        <v>45114</v>
      </c>
      <c r="C16" s="0" t="n">
        <f aca="false">IFERROR(__xludf.dummyfunction("""COMPUTED_VALUE"""),2)</f>
        <v>2</v>
      </c>
      <c r="D16" s="0" t="str">
        <f aca="false">IFERROR(__xludf.dummyfunction("""COMPUTED_VALUE"""),"AICI202208-5-1| Seguimiento y registro de los actos administrativos de bajas, para el retiro del sistema cada vez que se generen (19/10/2022 - 31/03/2023)")</f>
        <v>AICI202208-5-1| Seguimiento y registro de los actos administrativos de bajas, para el retiro del sistema cada vez que se generen (19/10/2022 - 31/03/2023)</v>
      </c>
      <c r="E16" s="0" t="str">
        <f aca="false">IFERROR(__xludf.dummyfunction("""COMPUTED_VALUE"""),"se proyectaron las respectivas resoluciones para dar elementos de baja y los elementos se están enviando a la unidad de EMAUS para hacer el proceso de EL MARTILLO, lo cual ya en el momento en que este autorizado se procederá a realizar la baja de los elem"&amp;"entos en el sistema, aun siguen siendo elementos del inventario de la SUBRED.
El día viernes 30 de junio, se va a llevar a cabo el comité de activos fijos en el cual se dará a conocer a los miembros los elementos para dar de baja del año 2020 al 2023 para"&amp;" su aprobación.")</f>
        <v>se proyectaron las respectivas resoluciones para dar elementos de baja y los elementos se están enviando a la unidad de EMAUS para hacer el proceso de EL MARTILLO, lo cual ya en el momento en que este autorizado se procederá a realizar la baja de los elementos en el sistema, aun siguen siendo elementos del inventario de la SUBRED.
El día viernes 30 de junio, se va a llevar a cabo el comité de activos fijos en el cual se dará a conocer a los miembros los elementos para dar de baja del año 2020 al 2023 para su aprobación.</v>
      </c>
      <c r="F16" s="0" t="str">
        <f aca="false">IFERROR(__xludf.dummyfunction("""COMPUTED_VALUE"""),"Atrasado")</f>
        <v>Atrasado</v>
      </c>
    </row>
    <row r="17" customFormat="false" ht="14.25" hidden="false" customHeight="false" outlineLevel="0" collapsed="false">
      <c r="A17" s="18" t="str">
        <f aca="false">IFERROR(MID(D17,1,FIND("|",D17)-1)&amp;"-"&amp;C17,"")</f>
        <v>AICI202208-6-1-2</v>
      </c>
      <c r="B17" s="19" t="n">
        <f aca="false">IFERROR(__xludf.dummyfunction("""COMPUTED_VALUE"""),45114)</f>
        <v>45114</v>
      </c>
      <c r="C17" s="0" t="n">
        <f aca="false">IFERROR(__xludf.dummyfunction("""COMPUTED_VALUE"""),2)</f>
        <v>2</v>
      </c>
      <c r="D17" s="0" t="str">
        <f aca="false">IFERROR(__xludf.dummyfunction("""COMPUTED_VALUE"""),"AICI202208-6-1| Realizar el proceso de depuración de los documentos en conjunto entre el área de normalización y los lideres de cada área del proceso ... (19/10/2022 - 31/03/2023)")</f>
        <v>AICI202208-6-1| Realizar el proceso de depuración de los documentos en conjunto entre el área de normalización y los lideres de cada área del proceso ... (19/10/2022 - 31/03/2023)</v>
      </c>
      <c r="E17" s="0" t="str">
        <f aca="false">IFERROR(__xludf.dummyfunction("""COMPUTED_VALUE"""),"Referente a esta acción no se allego respuesta, sobre su cumplimiento.")</f>
        <v>Referente a esta acción no se allego respuesta, sobre su cumplimiento.</v>
      </c>
      <c r="F17" s="0" t="str">
        <f aca="false">IFERROR(__xludf.dummyfunction("""COMPUTED_VALUE"""),"Atrasado")</f>
        <v>Atrasado</v>
      </c>
    </row>
    <row r="18" customFormat="false" ht="14.25" hidden="false" customHeight="false" outlineLevel="0" collapsed="false">
      <c r="A18" s="18" t="str">
        <f aca="false">IFERROR(MID(D18,1,FIND("|",D18)-1)&amp;"-"&amp;C18,"")</f>
        <v>AICI202208-3-2-2</v>
      </c>
      <c r="B18" s="19" t="n">
        <f aca="false">IFERROR(__xludf.dummyfunction("""COMPUTED_VALUE"""),45114)</f>
        <v>45114</v>
      </c>
      <c r="C18" s="0" t="n">
        <f aca="false">IFERROR(__xludf.dummyfunction("""COMPUTED_VALUE"""),2)</f>
        <v>2</v>
      </c>
      <c r="D18" s="0" t="str">
        <f aca="false">IFERROR(__xludf.dummyfunction("""COMPUTED_VALUE"""),"AICI202208-3-2| Realizar auditorias internas semestralmente a la documentación y bases de datos de información generada por el proceso (19/10/2022 - 30/06/2023)")</f>
        <v>AICI202208-3-2| Realizar auditorias internas semestralmente a la documentación y bases de datos de información generada por el proceso (19/10/2022 - 30/06/2023)</v>
      </c>
      <c r="E18" s="0" t="str">
        <f aca="false">IFERROR(__xludf.dummyfunction("""COMPUTED_VALUE"""),"No se allegaron soportes de avance o cumplimiento de la acción.")</f>
        <v>No se allegaron soportes de avance o cumplimiento de la acción.</v>
      </c>
      <c r="F18" s="0" t="str">
        <f aca="false">IFERROR(__xludf.dummyfunction("""COMPUTED_VALUE"""),"Atrasado")</f>
        <v>Atrasado</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1794</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AICI202207-1-1-1</v>
      </c>
      <c r="B4" s="19" t="n">
        <f aca="false">IFERROR(__xludf.dummyfunction("""COMPUTED_VALUE"""),44841)</f>
        <v>44841</v>
      </c>
      <c r="C4" s="0" t="n">
        <f aca="false">IFERROR(__xludf.dummyfunction("""COMPUTED_VALUE"""),1)</f>
        <v>1</v>
      </c>
      <c r="D4" s="0" t="str">
        <f aca="false">IFERROR(__xludf.dummyfunction("""COMPUTED_VALUE"""),"AICI202207-1-1| La Dirección de Contratación solicitara capacitación a la oficina de Desarrollo Institucional con miras a fortalecer e identificar... (01/07/2022 - 31/12/2022)")</f>
        <v>AICI202207-1-1| La Dirección de Contratación solicitara capacitación a la oficina de Desarrollo Institucional con miras a fortalecer e identificar... (01/07/2022 - 31/12/2022)</v>
      </c>
      <c r="E4" s="0" t="str">
        <f aca="false">IFERROR(__xludf.dummyfunction("""COMPUTED_VALUE"""),"La Dirección de Contratación solicitó espacio de capacitación con miras a fortalecer  y identificar acertadamente los riesgos que pueden generase en la gestión contractual.
adicional a ello, buscar espacios para verificar y actualizar el mapa de riegos in"&amp;"corporando los pasos establecidos en el manual de gestión y administración de los riesgos.")</f>
        <v>La Dirección de Contratación solicitó espacio de capacitación con miras a fortalecer  y identificar acertadamente los riesgos que pueden generase en la gestión contractual.
adicional a ello, buscar espacios para verificar y actualizar el mapa de riegos incorporando los pasos establecidos en el manual de gestión y administración de los riesgos.</v>
      </c>
      <c r="F4" s="0" t="str">
        <f aca="false">IFERROR(__xludf.dummyfunction("""COMPUTED_VALUE"""),"En desarrollo")</f>
        <v>En desarrollo</v>
      </c>
    </row>
    <row r="5" customFormat="false" ht="14.25" hidden="false" customHeight="false" outlineLevel="0" collapsed="false">
      <c r="A5" s="18" t="str">
        <f aca="false">IFERROR(MID(D5,1,FIND("|",D5)-1)&amp;"-"&amp;C5,"")</f>
        <v>AICI202207-1-2-1</v>
      </c>
      <c r="B5" s="19" t="n">
        <f aca="false">IFERROR(__xludf.dummyfunction("""COMPUTED_VALUE"""),44841)</f>
        <v>44841</v>
      </c>
      <c r="C5" s="0" t="n">
        <f aca="false">IFERROR(__xludf.dummyfunction("""COMPUTED_VALUE"""),1)</f>
        <v>1</v>
      </c>
      <c r="D5" s="0" t="str">
        <f aca="false">IFERROR(__xludf.dummyfunction("""COMPUTED_VALUE"""),"AICI202207-1-2| Realizar en coordinaciòn con la oficina de desarrollo institucional, actualizaciòn del mapa de riesgos ajustando la descripciòn del... (01/07/2022 - 31/12/2022)")</f>
        <v>AICI202207-1-2| Realizar en coordinaciòn con la oficina de desarrollo institucional, actualizaciòn del mapa de riesgos ajustando la descripciòn del... (01/07/2022 - 31/12/2022)</v>
      </c>
      <c r="E5" s="0" t="str">
        <f aca="false">IFERROR(__xludf.dummyfunction("""COMPUTED_VALUE"""),"La Dirección de Contratación solicitó espacio de capacitación con miras a fortalecer  y identificar acertadamente los riesgos que pueden generase en la gestión contractual.
adicional a ello, buscar espacios para verificar y actualizar el mapa de riegos in"&amp;"corporando los pasos establecidos en el manual de gestión y administración de los riesgos.")</f>
        <v>La Dirección de Contratación solicitó espacio de capacitación con miras a fortalecer  y identificar acertadamente los riesgos que pueden generase en la gestión contractual.
adicional a ello, buscar espacios para verificar y actualizar el mapa de riegos incorporando los pasos establecidos en el manual de gestión y administración de los riesgos.</v>
      </c>
      <c r="F5" s="0" t="str">
        <f aca="false">IFERROR(__xludf.dummyfunction("""COMPUTED_VALUE"""),"En desarrollo")</f>
        <v>En desarrollo</v>
      </c>
    </row>
    <row r="6" customFormat="false" ht="14.25" hidden="false" customHeight="false" outlineLevel="0" collapsed="false">
      <c r="A6" s="18" t="str">
        <f aca="false">IFERROR(MID(D6,1,FIND("|",D6)-1)&amp;"-"&amp;C6,"")</f>
        <v>AICI202207-2-1-1</v>
      </c>
      <c r="B6" s="19" t="n">
        <f aca="false">IFERROR(__xludf.dummyfunction("""COMPUTED_VALUE"""),44841)</f>
        <v>44841</v>
      </c>
      <c r="C6" s="0" t="n">
        <f aca="false">IFERROR(__xludf.dummyfunction("""COMPUTED_VALUE"""),1)</f>
        <v>1</v>
      </c>
      <c r="D6" s="0" t="str">
        <f aca="false">IFERROR(__xludf.dummyfunction("""COMPUTED_VALUE"""),"AICI202207-2-1| Seguimiento y verificación bimensual de los documentos cargados dentro de la Plataforma Secop II, correspondiente al personal... (01/07/2022 - 31/12/2022)")</f>
        <v>AICI202207-2-1| Seguimiento y verificación bimensual de los documentos cargados dentro de la Plataforma Secop II, correspondiente al personal... (01/07/2022 - 31/12/2022)</v>
      </c>
      <c r="E6" s="0" t="str">
        <f aca="false">IFERROR(__xludf.dummyfunction("""COMPUTED_VALUE"""),"La Dirección de Contratación realizó seguimiento al cargue de los documentos de la hoja de vida de los contratistas contratados para los meses de Julio y Agosto. Como soporte se entrega base de datos de los contratos donde se identifica en la columna B lo"&amp;"s enlaces link de la plataforma secop II, y en la columna C la evidencia de la verificación del cargue de los respectivos documentos, por parte de la Dirección de Contratación. Es importante precisar que la actividad de verificación de cargue de documento"&amp;"s se le dará continuidad durante la gestión contractual")</f>
        <v>La Dirección de Contratación realizó seguimiento al cargue de los documentos de la hoja de vida de los contratistas contratados para los meses de Julio y Agosto. Como soporte se entrega base de datos de los contratos donde se identifica en la columna B los enlaces link de la plataforma secop II, y en la columna C la evidencia de la verificación del cargue de los respectivos documentos, por parte de la Dirección de Contratación. Es importante precisar que la actividad de verificación de cargue de documentos se le dará continuidad durante la gestión contractual</v>
      </c>
      <c r="F6" s="0" t="str">
        <f aca="false">IFERROR(__xludf.dummyfunction("""COMPUTED_VALUE"""),"Completo")</f>
        <v>Completo</v>
      </c>
      <c r="G6" s="0" t="str">
        <f aca="false">IFERROR(__xludf.dummyfunction("""COMPUTED_VALUE"""),"Sí")</f>
        <v>Sí</v>
      </c>
    </row>
    <row r="7" customFormat="false" ht="14.25" hidden="false" customHeight="false" outlineLevel="0" collapsed="false">
      <c r="A7" s="18" t="str">
        <f aca="false">IFERROR(MID(D7,1,FIND("|",D7)-1)&amp;"-"&amp;C7,"")</f>
        <v>AICI202207-3-1-1</v>
      </c>
      <c r="B7" s="19" t="n">
        <f aca="false">IFERROR(__xludf.dummyfunction("""COMPUTED_VALUE"""),44841)</f>
        <v>44841</v>
      </c>
      <c r="C7" s="0" t="n">
        <f aca="false">IFERROR(__xludf.dummyfunction("""COMPUTED_VALUE"""),1)</f>
        <v>1</v>
      </c>
      <c r="D7" s="0" t="str">
        <f aca="false">IFERROR(__xludf.dummyfunction("""COMPUTED_VALUE"""),"AICI202207-3-1| Realizar seguimiento a las solicitudes de Contratación bajo la modalidad de Prestacion de Servicios, radicadas por parte del ... (01/07/2022 - 31/12/2022)")</f>
        <v>AICI202207-3-1| Realizar seguimiento a las solicitudes de Contratación bajo la modalidad de Prestacion de Servicios, radicadas por parte del ... (01/07/2022 - 31/12/2022)</v>
      </c>
      <c r="E7" s="0" t="str">
        <f aca="false">IFERROR(__xludf.dummyfunction("""COMPUTED_VALUE"""),"La Dirección de Contratación realiza verificación de todas las hojas de vidas reclutadas por el área de selección de la Dirección de Talento Humano. Dicha verificación se hace de acuerdo a lo estipulado en el requerimiento y resolución de honorarios vigen"&amp;"te (Resolución 570 del 5 de Julio del 2022), en dicha revisión se verifica competencias en cuanto a certificados de estudios, de experiencia y de idoneidad. Como soporte se cuenta con un archivo excel denominado ""Base selección - Contratación Subred Nort"&amp;"e"" compartido entre el área de selección y contratación donde se evidencia el seguimiento realizado a cada hoja de vida reclutada para la contratación de prestación de servicios. Es importante precisar que la actividad de verificación de documentos para "&amp;"la contratación se le dará continuidad durante la gestión contractual")</f>
        <v>La Dirección de Contratación realiza verificación de todas las hojas de vidas reclutadas por el área de selección de la Dirección de Talento Humano. Dicha verificación se hace de acuerdo a lo estipulado en el requerimiento y resolución de honorarios vigente (Resolución 570 del 5 de Julio del 2022), en dicha revisión se verifica competencias en cuanto a certificados de estudios, de experiencia y de idoneidad. Como soporte se cuenta con un archivo excel denominado "Base selección - Contratación Subred Norte" compartido entre el área de selección y contratación donde se evidencia el seguimiento realizado a cada hoja de vida reclutada para la contratación de prestación de servicios. Es importante precisar que la actividad de verificación de documentos para la contratación se le dará continuidad durante la gestión contractual</v>
      </c>
      <c r="F7" s="0" t="str">
        <f aca="false">IFERROR(__xludf.dummyfunction("""COMPUTED_VALUE"""),"Completo")</f>
        <v>Completo</v>
      </c>
      <c r="G7" s="0" t="str">
        <f aca="false">IFERROR(__xludf.dummyfunction("""COMPUTED_VALUE"""),"Sí")</f>
        <v>Sí</v>
      </c>
    </row>
    <row r="8" customFormat="false" ht="14.25" hidden="false" customHeight="false" outlineLevel="0" collapsed="false">
      <c r="A8" s="18" t="str">
        <f aca="false">IFERROR(MID(D8,1,FIND("|",D8)-1)&amp;"-"&amp;C8,"")</f>
        <v>AICI202207-3-2-1</v>
      </c>
      <c r="B8" s="19" t="n">
        <f aca="false">IFERROR(__xludf.dummyfunction("""COMPUTED_VALUE"""),44841)</f>
        <v>44841</v>
      </c>
      <c r="C8" s="0" t="n">
        <f aca="false">IFERROR(__xludf.dummyfunction("""COMPUTED_VALUE"""),1)</f>
        <v>1</v>
      </c>
      <c r="D8" s="0" t="str">
        <f aca="false">IFERROR(__xludf.dummyfunction("""COMPUTED_VALUE"""),"AICI202207-3-2| Capacitar al personal que interviene en el proceso de selección de personal, sobre el cumplimiento de requisitos de formación ... (01/07/2022 - 31/12/2022)")</f>
        <v>AICI202207-3-2| Capacitar al personal que interviene en el proceso de selección de personal, sobre el cumplimiento de requisitos de formación ... (01/07/2022 - 31/12/2022)</v>
      </c>
      <c r="E8" s="0" t="str">
        <f aca="false">IFERROR(__xludf.dummyfunction("""COMPUTED_VALUE"""),"La dirección de Contratación se encuentra en proceso de actualización del procedimiento de Contratación de Prestación de Servicio, teniendo en cuenta que de acuerdo a reorganización institucional se reestructurara el proceso de selección que quedará a car"&amp;"go de la Dirección de Contratación; razón por la cual, se realizarán las capacitaciones con el personal designado para dicho proceso.")</f>
        <v>La dirección de Contratación se encuentra en proceso de actualización del procedimiento de Contratación de Prestación de Servicio, teniendo en cuenta que de acuerdo a reorganización institucional se reestructurara el proceso de selección que quedará a cargo de la Dirección de Contratación; razón por la cual, se realizarán las capacitaciones con el personal designado para dicho proceso.</v>
      </c>
      <c r="F8" s="0" t="str">
        <f aca="false">IFERROR(__xludf.dummyfunction("""COMPUTED_VALUE"""),"En desarrollo")</f>
        <v>En desarrollo</v>
      </c>
    </row>
    <row r="9" customFormat="false" ht="14.25" hidden="false" customHeight="false" outlineLevel="0" collapsed="false">
      <c r="A9" s="18" t="str">
        <f aca="false">IFERROR(MID(D9,1,FIND("|",D9)-1)&amp;"-"&amp;C9,"")</f>
        <v>AICI202207-4-1-1</v>
      </c>
      <c r="B9" s="19" t="n">
        <f aca="false">IFERROR(__xludf.dummyfunction("""COMPUTED_VALUE"""),44841)</f>
        <v>44841</v>
      </c>
      <c r="C9" s="0" t="n">
        <f aca="false">IFERROR(__xludf.dummyfunction("""COMPUTED_VALUE"""),1)</f>
        <v>1</v>
      </c>
      <c r="D9" s="0" t="str">
        <f aca="false">IFERROR(__xludf.dummyfunction("""COMPUTED_VALUE"""),"AICI202207-4-1| Retroalimentación al personal de la Dirección de Contratación sobre la existencia e implicación de acto administrativo de delegación (01/07/2022 - 31/12/2022)")</f>
        <v>AICI202207-4-1| Retroalimentación al personal de la Dirección de Contratación sobre la existencia e implicación de acto administrativo de delegación (01/07/2022 - 31/12/2022)</v>
      </c>
      <c r="E9" s="0" t="str">
        <f aca="false">IFERROR(__xludf.dummyfunction("""COMPUTED_VALUE"""),"Mediante reunión del  15 de agosto de 2022 se socializaron   las resoluciones 513, 516 y 623 de 2021 que determinan los lineamientos para suscripción de contratos de acuerdo a la ordenación del gasto. Soporte : acta de reunión. ")</f>
        <v>Mediante reunión del  15 de agosto de 2022 se socializaron   las resoluciones 513, 516 y 623 de 2021 que determinan los lineamientos para suscripción de contratos de acuerdo a la ordenación del gasto. Soporte : acta de reunión. </v>
      </c>
      <c r="F9" s="0" t="str">
        <f aca="false">IFERROR(__xludf.dummyfunction("""COMPUTED_VALUE"""),"Completo")</f>
        <v>Completo</v>
      </c>
      <c r="G9" s="0" t="str">
        <f aca="false">IFERROR(__xludf.dummyfunction("""COMPUTED_VALUE"""),"Sí")</f>
        <v>Sí</v>
      </c>
    </row>
    <row r="10" customFormat="false" ht="14.25" hidden="false" customHeight="false" outlineLevel="0" collapsed="false">
      <c r="A10" s="18" t="str">
        <f aca="false">IFERROR(MID(D10,1,FIND("|",D10)-1)&amp;"-"&amp;C10,"")</f>
        <v>AICI202207-4-2-1</v>
      </c>
      <c r="B10" s="19" t="n">
        <f aca="false">IFERROR(__xludf.dummyfunction("""COMPUTED_VALUE"""),44841)</f>
        <v>44841</v>
      </c>
      <c r="C10" s="0" t="n">
        <f aca="false">IFERROR(__xludf.dummyfunction("""COMPUTED_VALUE"""),1)</f>
        <v>1</v>
      </c>
      <c r="D10" s="0" t="str">
        <f aca="false">IFERROR(__xludf.dummyfunction("""COMPUTED_VALUE"""),"AICI202207-4-2| Segumiento a las herramientas de registro, control y seguimiento a la contratación de la SUBRED, generando alertas ... (01/07/2022 - 31/12/2022)")</f>
        <v>AICI202207-4-2| Segumiento a las herramientas de registro, control y seguimiento a la contratación de la SUBRED, generando alertas ... (01/07/2022 - 31/12/2022)</v>
      </c>
      <c r="E10" s="0" t="str">
        <f aca="false">IFERROR(__xludf.dummyfunction("""COMPUTED_VALUE"""),"La dirección de Contratación cuenta con una matriz general en formato excel denominada ""base general de bienes y servicios""  mediante la cual se realiza el seguimiento a los contratos de bienes y servicios, en donde se establecer mediante semaforización"&amp;" en el valor del contrato y adiciones con el fin de alertar la aprobación de acuerdo a las resoluciones existentes de delegación.")</f>
        <v>La dirección de Contratación cuenta con una matriz general en formato excel denominada "base general de bienes y servicios"  mediante la cual se realiza el seguimiento a los contratos de bienes y servicios, en donde se establecer mediante semaforización en el valor del contrato y adiciones con el fin de alertar la aprobación de acuerdo a las resoluciones existentes de delegación.</v>
      </c>
      <c r="F10" s="0" t="str">
        <f aca="false">IFERROR(__xludf.dummyfunction("""COMPUTED_VALUE"""),"En desarrollo")</f>
        <v>En desarrollo</v>
      </c>
    </row>
    <row r="11" customFormat="false" ht="14.25" hidden="false" customHeight="false" outlineLevel="0" collapsed="false">
      <c r="A11" s="18" t="str">
        <f aca="false">IFERROR(MID(D11,1,FIND("|",D11)-1)&amp;"-"&amp;C11,"")</f>
        <v>AICI202207-5-1-1</v>
      </c>
      <c r="B11" s="19" t="n">
        <f aca="false">IFERROR(__xludf.dummyfunction("""COMPUTED_VALUE"""),44841)</f>
        <v>44841</v>
      </c>
      <c r="C11" s="0" t="n">
        <f aca="false">IFERROR(__xludf.dummyfunction("""COMPUTED_VALUE"""),1)</f>
        <v>1</v>
      </c>
      <c r="D11" s="0" t="str">
        <f aca="false">IFERROR(__xludf.dummyfunction("""COMPUTED_VALUE"""),"AICI202207-5-1| Realizar seguimiento a las herramientas de registro, control y seguimiento a la contratación de la SUBRED frente a los contratos ... (01/07/2022 - 31/12/2022)")</f>
        <v>AICI202207-5-1| Realizar seguimiento a las herramientas de registro, control y seguimiento a la contratación de la SUBRED frente a los contratos ... (01/07/2022 - 31/12/2022)</v>
      </c>
      <c r="E11" s="0" t="str">
        <f aca="false">IFERROR(__xludf.dummyfunction("""COMPUTED_VALUE"""),"La dirección de Contratación se encuentra en proceso de actualización del procedimiento de Contratación de Bienes y Servicios, donde se incluyo la parte pos contractual.
De igual manera se diseño una base de datos correspondiente a los Informes Finales d"&amp;"e Supervisor donde se indican todos los datos necesarios para llevar el seguimiento a los informes radicados en la Dirección para su revisión y posterior generación del Acta de Liquidación, adicionalmente la base contendrá una semaforización el cual indic"&amp;"a dos datos importantes, el primero genera una alerta de terminación de los Contratos y el segundo genera una alerta con los Contratos que se encuentran a punto de vencer en el plazo de dos (2) años para generar su correspondiente Acta de Liquidación de f"&amp;"orma unilateral o bilateral. ")</f>
        <v>La dirección de Contratación se encuentra en proceso de actualización del procedimiento de Contratación de Bienes y Servicios, donde se incluyo la parte pos contractual.
De igual manera se diseño una base de datos correspondiente a los Informes Finales de Supervisor donde se indican todos los datos necesarios para llevar el seguimiento a los informes radicados en la Dirección para su revisión y posterior generación del Acta de Liquidación, adicionalmente la base contendrá una semaforización el cual indica dos datos importantes, el primero genera una alerta de terminación de los Contratos y el segundo genera una alerta con los Contratos que se encuentran a punto de vencer en el plazo de dos (2) años para generar su correspondiente Acta de Liquidación de forma unilateral o bilateral. </v>
      </c>
      <c r="F11" s="0" t="str">
        <f aca="false">IFERROR(__xludf.dummyfunction("""COMPUTED_VALUE"""),"En desarrollo")</f>
        <v>En desarrollo</v>
      </c>
    </row>
    <row r="12" customFormat="false" ht="14.25" hidden="false" customHeight="false" outlineLevel="0" collapsed="false">
      <c r="A12" s="18" t="str">
        <f aca="false">IFERROR(MID(D12,1,FIND("|",D12)-1)&amp;"-"&amp;C12,"")</f>
        <v>AICI202207-1-1-2</v>
      </c>
      <c r="B12" s="19" t="n">
        <f aca="false">IFERROR(__xludf.dummyfunction("""COMPUTED_VALUE"""),44937)</f>
        <v>44937</v>
      </c>
      <c r="C12" s="0" t="n">
        <f aca="false">IFERROR(__xludf.dummyfunction("""COMPUTED_VALUE"""),2)</f>
        <v>2</v>
      </c>
      <c r="D12" s="0" t="str">
        <f aca="false">IFERROR(__xludf.dummyfunction("""COMPUTED_VALUE"""),"AICI202207-1-1| La Dirección de Contratación solicitara capacitación a la oficina de Desarrollo Institucional con miras a fortalecer e identificar... (01/07/2022 - 31/12/2022)")</f>
        <v>AICI202207-1-1| La Dirección de Contratación solicitara capacitación a la oficina de Desarrollo Institucional con miras a fortalecer e identificar... (01/07/2022 - 31/12/2022)</v>
      </c>
      <c r="E12" s="0" t="str">
        <f aca="false">IFERROR(__xludf.dummyfunction("""COMPUTED_VALUE"""),"Por parte de la Dirección de Contratación el 6 de octubre de 2022 se solicitó capacitación para fortalecer y identificar acertadamente los riesgos que pueden generase en la gestión contractual así como para verificar y actualizar el mapa de riegos incorpo"&amp;"rando los pasos establecidos en el manual de gestión y administración de los riegos.")</f>
        <v>Por parte de la Dirección de Contratación el 6 de octubre de 2022 se solicitó capacitación para fortalecer y identificar acertadamente los riesgos que pueden generase en la gestión contractual así como para verificar y actualizar el mapa de riegos incorporando los pasos establecidos en el manual de gestión y administración de los riegos.</v>
      </c>
      <c r="F12" s="0" t="str">
        <f aca="false">IFERROR(__xludf.dummyfunction("""COMPUTED_VALUE"""),"Completo")</f>
        <v>Completo</v>
      </c>
      <c r="G12" s="0" t="str">
        <f aca="false">IFERROR(__xludf.dummyfunction("""COMPUTED_VALUE"""),"Sí")</f>
        <v>Sí</v>
      </c>
    </row>
    <row r="13" customFormat="false" ht="14.25" hidden="false" customHeight="false" outlineLevel="0" collapsed="false">
      <c r="A13" s="18" t="str">
        <f aca="false">IFERROR(MID(D13,1,FIND("|",D13)-1)&amp;"-"&amp;C13,"")</f>
        <v>AICI202207-1-2-2</v>
      </c>
      <c r="B13" s="19" t="n">
        <f aca="false">IFERROR(__xludf.dummyfunction("""COMPUTED_VALUE"""),44937)</f>
        <v>44937</v>
      </c>
      <c r="C13" s="0" t="n">
        <f aca="false">IFERROR(__xludf.dummyfunction("""COMPUTED_VALUE"""),2)</f>
        <v>2</v>
      </c>
      <c r="D13" s="0" t="str">
        <f aca="false">IFERROR(__xludf.dummyfunction("""COMPUTED_VALUE"""),"AICI202207-1-2| Realizar en coordinaciòn con la oficina de desarrollo institucional, actualizaciòn del mapa de riesgos ajustando la descripciòn del... (01/07/2022 - 31/12/2022)")</f>
        <v>AICI202207-1-2| Realizar en coordinaciòn con la oficina de desarrollo institucional, actualizaciòn del mapa de riesgos ajustando la descripciòn del... (01/07/2022 - 31/12/2022)</v>
      </c>
      <c r="E13" s="0" t="str">
        <f aca="false">IFERROR(__xludf.dummyfunction("""COMPUTED_VALUE"""),"Aunque la dirección de contratación ya realizó la solicitud de  capacitación y  trabajo con la oficina de desarrollo institucional para la actualización del mapa de riesgos, dicho   mapa, aun no se encuentra actualizado, ni se evidencia el soporte de la m"&amp;"atriz trabajada con los nuevos riesgos y los controles  establecidos.")</f>
        <v>Aunque la dirección de contratación ya realizó la solicitud de  capacitación y  trabajo con la oficina de desarrollo institucional para la actualización del mapa de riesgos, dicho   mapa, aun no se encuentra actualizado, ni se evidencia el soporte de la matriz trabajada con los nuevos riesgos y los controles  establecidos.</v>
      </c>
      <c r="F13" s="0" t="str">
        <f aca="false">IFERROR(__xludf.dummyfunction("""COMPUTED_VALUE"""),"Atrasado")</f>
        <v>Atrasado</v>
      </c>
    </row>
    <row r="14" customFormat="false" ht="14.25" hidden="false" customHeight="false" outlineLevel="0" collapsed="false">
      <c r="A14" s="18" t="str">
        <f aca="false">IFERROR(MID(D14,1,FIND("|",D14)-1)&amp;"-"&amp;C14,"")</f>
        <v>AICI202207-3-2-2</v>
      </c>
      <c r="B14" s="19" t="n">
        <f aca="false">IFERROR(__xludf.dummyfunction("""COMPUTED_VALUE"""),44937)</f>
        <v>44937</v>
      </c>
      <c r="C14" s="0" t="n">
        <f aca="false">IFERROR(__xludf.dummyfunction("""COMPUTED_VALUE"""),2)</f>
        <v>2</v>
      </c>
      <c r="D14" s="0" t="str">
        <f aca="false">IFERROR(__xludf.dummyfunction("""COMPUTED_VALUE"""),"AICI202207-3-2| Capacitar al personal que interviene en el proceso de selección de personal, sobre el cumplimiento de requisitos de formación ... (01/07/2022 - 31/12/2022)")</f>
        <v>AICI202207-3-2| Capacitar al personal que interviene en el proceso de selección de personal, sobre el cumplimiento de requisitos de formación ... (01/07/2022 - 31/12/2022)</v>
      </c>
      <c r="E14" s="0" t="str">
        <f aca="false">IFERROR(__xludf.dummyfunction("""COMPUTED_VALUE"""),"Se evidencia acta de capacitación con los reclutadores de la direccion de contratación con fecha de 5/12/2022.")</f>
        <v>Se evidencia acta de capacitación con los reclutadores de la direccion de contratación con fecha de 5/12/2022.</v>
      </c>
      <c r="F14" s="0" t="str">
        <f aca="false">IFERROR(__xludf.dummyfunction("""COMPUTED_VALUE"""),"Completo")</f>
        <v>Completo</v>
      </c>
      <c r="G14" s="0" t="str">
        <f aca="false">IFERROR(__xludf.dummyfunction("""COMPUTED_VALUE"""),"Sí")</f>
        <v>Sí</v>
      </c>
    </row>
    <row r="15" customFormat="false" ht="14.25" hidden="false" customHeight="false" outlineLevel="0" collapsed="false">
      <c r="A15" s="18" t="str">
        <f aca="false">IFERROR(MID(D15,1,FIND("|",D15)-1)&amp;"-"&amp;C15,"")</f>
        <v>AICI202207-4-2-2</v>
      </c>
      <c r="B15" s="19" t="n">
        <f aca="false">IFERROR(__xludf.dummyfunction("""COMPUTED_VALUE"""),44937)</f>
        <v>44937</v>
      </c>
      <c r="C15" s="0" t="n">
        <f aca="false">IFERROR(__xludf.dummyfunction("""COMPUTED_VALUE"""),2)</f>
        <v>2</v>
      </c>
      <c r="D15" s="0" t="str">
        <f aca="false">IFERROR(__xludf.dummyfunction("""COMPUTED_VALUE"""),"AICI202207-4-2| Segumiento a las herramientas de registro, control y seguimiento a la contratación de la SUBRED, generando alertas ... (01/07/2022 - 31/12/2022)")</f>
        <v>AICI202207-4-2| Segumiento a las herramientas de registro, control y seguimiento a la contratación de la SUBRED, generando alertas ... (01/07/2022 - 31/12/2022)</v>
      </c>
      <c r="E15" s="0" t="str">
        <f aca="false">IFERROR(__xludf.dummyfunction("""COMPUTED_VALUE"""),"La base de datos que aporta el proceso, no  presenta  la suficiente información que garantice el control y las alertas para evitar que se sobre pasen las cuantías establecidas para suscribir contratos. Por este motivo se considera no cumplida la acción")</f>
        <v>La base de datos que aporta el proceso, no  presenta  la suficiente información que garantice el control y las alertas para evitar que se sobre pasen las cuantías establecidas para suscribir contratos. Por este motivo se considera no cumplida la acción</v>
      </c>
      <c r="F15" s="0" t="str">
        <f aca="false">IFERROR(__xludf.dummyfunction("""COMPUTED_VALUE"""),"Atrasado")</f>
        <v>Atrasado</v>
      </c>
    </row>
    <row r="16" customFormat="false" ht="14.25" hidden="false" customHeight="false" outlineLevel="0" collapsed="false">
      <c r="A16" s="18" t="str">
        <f aca="false">IFERROR(MID(D16,1,FIND("|",D16)-1)&amp;"-"&amp;C16,"")</f>
        <v>AICI202207-5-1-2</v>
      </c>
      <c r="B16" s="19" t="n">
        <f aca="false">IFERROR(__xludf.dummyfunction("""COMPUTED_VALUE"""),44937)</f>
        <v>44937</v>
      </c>
      <c r="C16" s="0" t="n">
        <f aca="false">IFERROR(__xludf.dummyfunction("""COMPUTED_VALUE"""),2)</f>
        <v>2</v>
      </c>
      <c r="D16" s="0" t="str">
        <f aca="false">IFERROR(__xludf.dummyfunction("""COMPUTED_VALUE"""),"AICI202207-5-1| Realizar seguimiento a las herramientas de registro, control y seguimiento a la contratación de la SUBRED frente a los contratos ... (01/07/2022 - 31/12/2022)")</f>
        <v>AICI202207-5-1| Realizar seguimiento a las herramientas de registro, control y seguimiento a la contratación de la SUBRED frente a los contratos ... (01/07/2022 - 31/12/2022)</v>
      </c>
      <c r="E16" s="0" t="str">
        <f aca="false">IFERROR(__xludf.dummyfunction("""COMPUTED_VALUE"""),"La base de datos que aporta el proceso, presenta información sobre fecha de inicio y terminación de contrato y por medio de colores se realiza el seguimiento y control de los contratos próximos a vencerse y del seguimiento de la liquidación de los contrat"&amp;"os en los términos definidos  presenta columna del estado del contrato a la fecha que se revisa.")</f>
        <v>La base de datos que aporta el proceso, presenta información sobre fecha de inicio y terminación de contrato y por medio de colores se realiza el seguimiento y control de los contratos próximos a vencerse y del seguimiento de la liquidación de los contratos en los términos definidos  presenta columna del estado del contrato a la fecha que se revisa.</v>
      </c>
      <c r="F16" s="0" t="str">
        <f aca="false">IFERROR(__xludf.dummyfunction("""COMPUTED_VALUE"""),"Completo")</f>
        <v>Completo</v>
      </c>
      <c r="G16" s="0" t="str">
        <f aca="false">IFERROR(__xludf.dummyfunction("""COMPUTED_VALUE"""),"Sí")</f>
        <v>Sí</v>
      </c>
    </row>
    <row r="17" customFormat="false" ht="14.25" hidden="false" customHeight="false" outlineLevel="0" collapsed="false">
      <c r="A17" s="18" t="str">
        <f aca="false">IFERROR(MID(D17,1,FIND("|",D17)-1)&amp;"-"&amp;C17,"")</f>
        <v>AICI202207-1-1-3</v>
      </c>
      <c r="B17" s="19" t="n">
        <f aca="false">IFERROR(__xludf.dummyfunction("""COMPUTED_VALUE"""),45033)</f>
        <v>45033</v>
      </c>
      <c r="C17" s="0" t="n">
        <f aca="false">IFERROR(__xludf.dummyfunction("""COMPUTED_VALUE"""),3)</f>
        <v>3</v>
      </c>
      <c r="D17" s="0" t="str">
        <f aca="false">IFERROR(__xludf.dummyfunction("""COMPUTED_VALUE"""),"AICI202207-1-1| La Dirección de Contratación solicitara capacitación a la oficina de Desarrollo Institucional con miras a fortalecer e identificar... (01/07/2022 - 31/12/2022)")</f>
        <v>AICI202207-1-1| La Dirección de Contratación solicitara capacitación a la oficina de Desarrollo Institucional con miras a fortalecer e identificar... (01/07/2022 - 31/12/2022)</v>
      </c>
      <c r="E17" s="0" t="str">
        <f aca="false">IFERROR(__xludf.dummyfunction("""COMPUTED_VALUE"""),"Por parte de la Dirección de Contratación el 6 de octubre de 2022 se solicitó capacitación para fortalecer y identificar acertadamente los riesgos que pueden generase en la gestión contractual así como para verificar y actualizar el mapa de riegos incorpo"&amp;"rando los pasos establecidos en el manual de gestión y administración de los riegos.")</f>
        <v>Por parte de la Dirección de Contratación el 6 de octubre de 2022 se solicitó capacitación para fortalecer y identificar acertadamente los riesgos que pueden generase en la gestión contractual así como para verificar y actualizar el mapa de riegos incorporando los pasos establecidos en el manual de gestión y administración de los riegos.</v>
      </c>
      <c r="F17" s="0" t="str">
        <f aca="false">IFERROR(__xludf.dummyfunction("""COMPUTED_VALUE"""),"Completo")</f>
        <v>Completo</v>
      </c>
      <c r="G17" s="0" t="str">
        <f aca="false">IFERROR(__xludf.dummyfunction("""COMPUTED_VALUE"""),"Sí")</f>
        <v>Sí</v>
      </c>
    </row>
    <row r="18" customFormat="false" ht="14.25" hidden="false" customHeight="false" outlineLevel="0" collapsed="false">
      <c r="A18" s="18" t="str">
        <f aca="false">IFERROR(MID(D18,1,FIND("|",D18)-1)&amp;"-"&amp;C18,"")</f>
        <v>AICI202207-1-2-3</v>
      </c>
      <c r="B18" s="19" t="n">
        <f aca="false">IFERROR(__xludf.dummyfunction("""COMPUTED_VALUE"""),45033)</f>
        <v>45033</v>
      </c>
      <c r="C18" s="0" t="n">
        <f aca="false">IFERROR(__xludf.dummyfunction("""COMPUTED_VALUE"""),3)</f>
        <v>3</v>
      </c>
      <c r="D18" s="0" t="str">
        <f aca="false">IFERROR(__xludf.dummyfunction("""COMPUTED_VALUE"""),"AICI202207-1-2| Realizar en coordinaciòn con la oficina de desarrollo institucional, actualizaciòn del mapa de riesgos ajustando la descripciòn del... (01/07/2022 - 31/12/2022)")</f>
        <v>AICI202207-1-2| Realizar en coordinaciòn con la oficina de desarrollo institucional, actualizaciòn del mapa de riesgos ajustando la descripciòn del... (01/07/2022 - 31/12/2022)</v>
      </c>
      <c r="E18" s="0" t="str">
        <f aca="false">IFERROR(__xludf.dummyfunction("""COMPUTED_VALUE"""),"Por parte de la Dirección de Contratación el 6 de octubre de 2022 se solicitó capacitación para fortalecer y identificar acertadamente los riesgos que pueden generase en la gestión contractual así como para verificar y actualizar el mapa de riegos incorpo"&amp;"rando los pasos establecidos en el manual de gestión y administración de los riegos, el mapa de riesgos se encuentra actualizado y publicado en el aplicativo Almera  en la pagina Web de la Entidad.")</f>
        <v>Por parte de la Dirección de Contratación el 6 de octubre de 2022 se solicitó capacitación para fortalecer y identificar acertadamente los riesgos que pueden generase en la gestión contractual así como para verificar y actualizar el mapa de riegos incorporando los pasos establecidos en el manual de gestión y administración de los riegos, el mapa de riesgos se encuentra actualizado y publicado en el aplicativo Almera  en la pagina Web de la Entidad.</v>
      </c>
      <c r="F18" s="0" t="str">
        <f aca="false">IFERROR(__xludf.dummyfunction("""COMPUTED_VALUE"""),"Completo")</f>
        <v>Completo</v>
      </c>
      <c r="G18" s="0" t="str">
        <f aca="false">IFERROR(__xludf.dummyfunction("""COMPUTED_VALUE"""),"Sí")</f>
        <v>Sí</v>
      </c>
    </row>
    <row r="19" customFormat="false" ht="14.25" hidden="false" customHeight="false" outlineLevel="0" collapsed="false">
      <c r="A19" s="18" t="str">
        <f aca="false">IFERROR(MID(D19,1,FIND("|",D19)-1)&amp;"-"&amp;C19,"")</f>
        <v>AICI202207-4-2-3</v>
      </c>
      <c r="B19" s="19" t="n">
        <f aca="false">IFERROR(__xludf.dummyfunction("""COMPUTED_VALUE"""),45033)</f>
        <v>45033</v>
      </c>
      <c r="C19" s="0" t="n">
        <f aca="false">IFERROR(__xludf.dummyfunction("""COMPUTED_VALUE"""),3)</f>
        <v>3</v>
      </c>
      <c r="D19" s="0" t="str">
        <f aca="false">IFERROR(__xludf.dummyfunction("""COMPUTED_VALUE"""),"AICI202207-4-2| Segumiento a las herramientas de registro, control y seguimiento a la contratación de la SUBRED, generando alertas ... (01/07/2022 - 31/12/2022)")</f>
        <v>AICI202207-4-2| Segumiento a las herramientas de registro, control y seguimiento a la contratación de la SUBRED, generando alertas ... (01/07/2022 - 31/12/2022)</v>
      </c>
      <c r="E19" s="0" t="str">
        <f aca="false">IFERROR(__xludf.dummyfunction("""COMPUTED_VALUE"""),"La Dirección de Contratación realiza control a través de la base de datos de procesos de BYS, de los contratos suscritos con sus adiciones, para efectos de verificar que los monto comprometidos no superen los definidos en los actos administrativos de dele"&amp;"gación en los casos que aplique , en donde se puede evidenciar la formulación de la semaforización del limite de cuantía establecido para la vigencia 2023 de acuerdo a la delegación del ordenador del gasto. ")</f>
        <v>La Dirección de Contratación realiza control a través de la base de datos de procesos de BYS, de los contratos suscritos con sus adiciones, para efectos de verificar que los monto comprometidos no superen los definidos en los actos administrativos de delegación en los casos que aplique , en donde se puede evidenciar la formulación de la semaforización del limite de cuantía establecido para la vigencia 2023 de acuerdo a la delegación del ordenador del gasto. </v>
      </c>
      <c r="F19" s="0" t="str">
        <f aca="false">IFERROR(__xludf.dummyfunction("""COMPUTED_VALUE"""),"Completo")</f>
        <v>Completo</v>
      </c>
      <c r="G19" s="0" t="str">
        <f aca="false">IFERROR(__xludf.dummyfunction("""COMPUTED_VALUE"""),"Sí")</f>
        <v>Sí</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1795</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AICI202206-1-1-1</v>
      </c>
      <c r="B4" s="19" t="n">
        <f aca="false">IFERROR(__xludf.dummyfunction("""COMPUTED_VALUE"""),44844)</f>
        <v>44844</v>
      </c>
      <c r="C4" s="0" t="n">
        <f aca="false">IFERROR(__xludf.dummyfunction("""COMPUTED_VALUE"""),1)</f>
        <v>1</v>
      </c>
      <c r="D4" s="0" t="str">
        <f aca="false">IFERROR(__xludf.dummyfunction("""COMPUTED_VALUE"""),"AICI202206-1-1| Actualizar la información de los canales de interacción con la ciudadanía (07/06/2022 - 30/09/2022)")</f>
        <v>AICI202206-1-1| Actualizar la información de los canales de interacción con la ciudadanía (07/06/2022 - 30/09/2022)</v>
      </c>
      <c r="E4" s="0" t="str">
        <f aca="false">IFERROR(__xludf.dummyfunction("""COMPUTED_VALUE"""),"No se evidencia en la pagina web, interacción con los diferentes canales a la ciudadanía")</f>
        <v>No se evidencia en la pagina web, interacción con los diferentes canales a la ciudadanía</v>
      </c>
      <c r="F4" s="0" t="str">
        <f aca="false">IFERROR(__xludf.dummyfunction("""COMPUTED_VALUE"""),"Atrasado")</f>
        <v>Atrasado</v>
      </c>
    </row>
    <row r="5" customFormat="false" ht="14.25" hidden="false" customHeight="false" outlineLevel="0" collapsed="false">
      <c r="A5" s="18" t="str">
        <f aca="false">IFERROR(MID(D5,1,FIND("|",D5)-1)&amp;"-"&amp;C5,"")</f>
        <v>AICI202206-2-1-1</v>
      </c>
      <c r="B5" s="19" t="n">
        <f aca="false">IFERROR(__xludf.dummyfunction("""COMPUTED_VALUE"""),44844)</f>
        <v>44844</v>
      </c>
      <c r="C5" s="0" t="n">
        <f aca="false">IFERROR(__xludf.dummyfunction("""COMPUTED_VALUE"""),1)</f>
        <v>1</v>
      </c>
      <c r="D5" s="0" t="str">
        <f aca="false">IFERROR(__xludf.dummyfunction("""COMPUTED_VALUE"""),"AICI202206-2-1| Solicitar capacitación del Sistema Distrital Para la Gestión de Peticiones Ciudadanas – Bogotá te escucha a la Dirección del ... (07/06/2022 - 31/08/2022)")</f>
        <v>AICI202206-2-1| Solicitar capacitación del Sistema Distrital Para la Gestión de Peticiones Ciudadanas – Bogotá te escucha a la Dirección del ... (07/06/2022 - 31/08/2022)</v>
      </c>
      <c r="E5" s="0" t="str">
        <f aca="false">IFERROR(__xludf.dummyfunction("""COMPUTED_VALUE"""),"se observa listado de asistencia a la capacitación de pqrs,se anexa capacitación y listado")</f>
        <v>se observa listado de asistencia a la capacitación de pqrs,se anexa capacitación y listado</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AICI202206-2-2-1</v>
      </c>
      <c r="B6" s="19" t="n">
        <f aca="false">IFERROR(__xludf.dummyfunction("""COMPUTED_VALUE"""),44844)</f>
        <v>44844</v>
      </c>
      <c r="C6" s="0" t="n">
        <f aca="false">IFERROR(__xludf.dummyfunction("""COMPUTED_VALUE"""),1)</f>
        <v>1</v>
      </c>
      <c r="D6" s="0" t="str">
        <f aca="false">IFERROR(__xludf.dummyfunction("""COMPUTED_VALUE"""),"AICI202206-2-2| Socializar los Criterios de calidad: Oportunidad, Claridad, Coherencia y Calidez con los directivos como responsables de proyectar respuesta ... (07/06/2022 - 31/08/2022)")</f>
        <v>AICI202206-2-2| Socializar los Criterios de calidad: Oportunidad, Claridad, Coherencia y Calidez con los directivos como responsables de proyectar respuesta ... (07/06/2022 - 31/08/2022)</v>
      </c>
      <c r="E6" s="0" t="str">
        <f aca="false">IFERROR(__xludf.dummyfunction("""COMPUTED_VALUE"""),"Se observa correo enviado a los directivos con fecha 15 de septiembre,socializando  los criterios de calidad")</f>
        <v>Se observa correo enviado a los directivos con fecha 15 de septiembre,socializando  los criterios de calidad</v>
      </c>
      <c r="F6" s="0" t="str">
        <f aca="false">IFERROR(__xludf.dummyfunction("""COMPUTED_VALUE"""),"Completo")</f>
        <v>Completo</v>
      </c>
      <c r="G6" s="0" t="str">
        <f aca="false">IFERROR(__xludf.dummyfunction("""COMPUTED_VALUE"""),"Sí")</f>
        <v>Sí</v>
      </c>
    </row>
    <row r="7" customFormat="false" ht="14.25" hidden="false" customHeight="false" outlineLevel="0" collapsed="false">
      <c r="A7" s="18" t="str">
        <f aca="false">IFERROR(MID(D7,1,FIND("|",D7)-1)&amp;"-"&amp;C7,"")</f>
        <v>AICI202206-4-1-1</v>
      </c>
      <c r="B7" s="19" t="n">
        <f aca="false">IFERROR(__xludf.dummyfunction("""COMPUTED_VALUE"""),44844)</f>
        <v>44844</v>
      </c>
      <c r="C7" s="0" t="n">
        <f aca="false">IFERROR(__xludf.dummyfunction("""COMPUTED_VALUE"""),1)</f>
        <v>1</v>
      </c>
      <c r="D7" s="0" t="str">
        <f aca="false">IFERROR(__xludf.dummyfunction("""COMPUTED_VALUE"""),"AICI202206-4-1| Generar de manera conjunta con la Dirección de Gestión del Talento Humano, pieza comunicativa que informe sobre actos corrupción y conflicto de intereses ... (07/06/2022 - 30/09/2022)")</f>
        <v>AICI202206-4-1| Generar de manera conjunta con la Dirección de Gestión del Talento Humano, pieza comunicativa que informe sobre actos corrupción y conflicto de intereses ... (07/06/2022 - 30/09/2022)</v>
      </c>
      <c r="E7" s="0" t="str">
        <f aca="false">IFERROR(__xludf.dummyfunction("""COMPUTED_VALUE"""),"No se recibió soporte de pieza comunicativa,relacionada con actos de corrupción y conflicto de intereses")</f>
        <v>No se recibió soporte de pieza comunicativa,relacionada con actos de corrupción y conflicto de intereses</v>
      </c>
      <c r="F7" s="0" t="str">
        <f aca="false">IFERROR(__xludf.dummyfunction("""COMPUTED_VALUE"""),"Atrasado")</f>
        <v>Atrasado</v>
      </c>
    </row>
    <row r="8" customFormat="false" ht="14.25" hidden="false" customHeight="false" outlineLevel="0" collapsed="false">
      <c r="A8" s="18" t="str">
        <f aca="false">IFERROR(MID(D8,1,FIND("|",D8)-1)&amp;"-"&amp;C8,"")</f>
        <v>AICI202206-6-1-1</v>
      </c>
      <c r="B8" s="19" t="n">
        <f aca="false">IFERROR(__xludf.dummyfunction("""COMPUTED_VALUE"""),44844)</f>
        <v>44844</v>
      </c>
      <c r="C8" s="0" t="n">
        <f aca="false">IFERROR(__xludf.dummyfunction("""COMPUTED_VALUE"""),1)</f>
        <v>1</v>
      </c>
      <c r="D8" s="0" t="str">
        <f aca="false">IFERROR(__xludf.dummyfunction("""COMPUTED_VALUE"""),"AICI202206-6-1| Solicitar capacitación del Sistema Distrital Para la Gestión de Peticiones Ciudadanas – Bogotá te escucha a la Dirección del ... (07/06/2022 - 31/08/2022)")</f>
        <v>AICI202206-6-1| Solicitar capacitación del Sistema Distrital Para la Gestión de Peticiones Ciudadanas – Bogotá te escucha a la Dirección del ... (07/06/2022 - 31/08/2022)</v>
      </c>
      <c r="E8" s="0" t="str">
        <f aca="false">IFERROR(__xludf.dummyfunction("""COMPUTED_VALUE"""),"se capacitaron los colaboradores en la plataforma Bogotá te escucha,se anexa listado de asistencia con fecha de 11 de agosto de 2022")</f>
        <v>se capacitaron los colaboradores en la plataforma Bogotá te escucha,se anexa listado de asistencia con fecha de 11 de agosto de 2022</v>
      </c>
      <c r="F8" s="0" t="str">
        <f aca="false">IFERROR(__xludf.dummyfunction("""COMPUTED_VALUE"""),"Completo")</f>
        <v>Completo</v>
      </c>
      <c r="G8" s="0" t="str">
        <f aca="false">IFERROR(__xludf.dummyfunction("""COMPUTED_VALUE"""),"Sí")</f>
        <v>Sí</v>
      </c>
    </row>
    <row r="9" customFormat="false" ht="14.25" hidden="false" customHeight="false" outlineLevel="0" collapsed="false">
      <c r="A9" s="18" t="str">
        <f aca="false">IFERROR(MID(D9,1,FIND("|",D9)-1)&amp;"-"&amp;C9,"")</f>
        <v>AICI202206-7-1-1</v>
      </c>
      <c r="B9" s="19" t="n">
        <f aca="false">IFERROR(__xludf.dummyfunction("""COMPUTED_VALUE"""),44844)</f>
        <v>44844</v>
      </c>
      <c r="C9" s="0" t="n">
        <f aca="false">IFERROR(__xludf.dummyfunction("""COMPUTED_VALUE"""),1)</f>
        <v>1</v>
      </c>
      <c r="D9" s="0" t="str">
        <f aca="false">IFERROR(__xludf.dummyfunction("""COMPUTED_VALUE"""),"AICI202206-7-1| Verificar la existencia de las autorizaciones por escrito del tratamiento de datos personales, anonimizar la información y/o retirar las imágenes del I informe de Gestión Trimestral 2022 (07/06/2022 - 30/06/2022)")</f>
        <v>AICI202206-7-1| Verificar la existencia de las autorizaciones por escrito del tratamiento de datos personales, anonimizar la información y/o retirar las imágenes del I informe de Gestión Trimestral 2022 (07/06/2022 - 30/06/2022)</v>
      </c>
      <c r="E9" s="0" t="str">
        <f aca="false">IFERROR(__xludf.dummyfunction("""COMPUTED_VALUE"""),"No se encontró ningún soporte asociado a la acción de mejora")</f>
        <v>No se encontró ningún soporte asociado a la acción de mejora</v>
      </c>
      <c r="F9" s="0" t="str">
        <f aca="false">IFERROR(__xludf.dummyfunction("""COMPUTED_VALUE"""),"Atrasado")</f>
        <v>Atrasado</v>
      </c>
    </row>
    <row r="10" customFormat="false" ht="14.25" hidden="false" customHeight="false" outlineLevel="0" collapsed="false">
      <c r="A10" s="18" t="str">
        <f aca="false">IFERROR(MID(D10,1,FIND("|",D10)-1)&amp;"-"&amp;C10,"")</f>
        <v>AICI202206-2-3-1</v>
      </c>
      <c r="B10" s="19" t="n">
        <f aca="false">IFERROR(__xludf.dummyfunction("""COMPUTED_VALUE"""),44844)</f>
        <v>44844</v>
      </c>
      <c r="C10" s="0" t="n">
        <f aca="false">IFERROR(__xludf.dummyfunction("""COMPUTED_VALUE"""),1)</f>
        <v>1</v>
      </c>
      <c r="D10" s="0" t="str">
        <f aca="false">IFERROR(__xludf.dummyfunction("""COMPUTED_VALUE"""),"AICI202206-2-3| Reportar el incumplimiento de términos a la Oficina de asuntos disciplinarios (01/09/2022 - 30/11/2022)")</f>
        <v>AICI202206-2-3| Reportar el incumplimiento de términos a la Oficina de asuntos disciplinarios (01/09/2022 - 30/11/2022)</v>
      </c>
      <c r="E10" s="0" t="str">
        <f aca="false">IFERROR(__xludf.dummyfunction("""COMPUTED_VALUE"""),"Se anexa comunicación al área de gestión del riesgo de fecha 22 de septiembre,informando las peticiones fuera de terminos")</f>
        <v>Se anexa comunicación al área de gestión del riesgo de fecha 22 de septiembre,informando las peticiones fuera de terminos</v>
      </c>
      <c r="F10" s="0" t="str">
        <f aca="false">IFERROR(__xludf.dummyfunction("""COMPUTED_VALUE"""),"En desarrollo")</f>
        <v>En desarrollo</v>
      </c>
    </row>
    <row r="11" customFormat="false" ht="14.25" hidden="false" customHeight="false" outlineLevel="0" collapsed="false">
      <c r="A11" s="18" t="str">
        <f aca="false">IFERROR(MID(D11,1,FIND("|",D11)-1)&amp;"-"&amp;C11,"")</f>
        <v>AICI202206-1-1-2</v>
      </c>
      <c r="B11" s="19" t="n">
        <f aca="false">IFERROR(__xludf.dummyfunction("""COMPUTED_VALUE"""),44936)</f>
        <v>44936</v>
      </c>
      <c r="C11" s="0" t="n">
        <f aca="false">IFERROR(__xludf.dummyfunction("""COMPUTED_VALUE"""),2)</f>
        <v>2</v>
      </c>
      <c r="D11" s="0" t="str">
        <f aca="false">IFERROR(__xludf.dummyfunction("""COMPUTED_VALUE"""),"AICI202206-1-1| Actualizar la información de los canales de interacción con la ciudadanía (07/06/2022 - 30/09/2022)")</f>
        <v>AICI202206-1-1| Actualizar la información de los canales de interacción con la ciudadanía (07/06/2022 - 30/09/2022)</v>
      </c>
      <c r="E11" s="0" t="str">
        <f aca="false">IFERROR(__xludf.dummyfunction("""COMPUTED_VALUE"""),"Se observa pieza comunicativa donde se informa las diferentes vías de acceso")</f>
        <v>Se observa pieza comunicativa donde se informa las diferentes vías de acceso</v>
      </c>
      <c r="F11" s="0" t="str">
        <f aca="false">IFERROR(__xludf.dummyfunction("""COMPUTED_VALUE"""),"Completo")</f>
        <v>Completo</v>
      </c>
      <c r="G11" s="0" t="str">
        <f aca="false">IFERROR(__xludf.dummyfunction("""COMPUTED_VALUE"""),"Sí")</f>
        <v>Sí</v>
      </c>
    </row>
    <row r="12" customFormat="false" ht="14.25" hidden="false" customHeight="false" outlineLevel="0" collapsed="false">
      <c r="A12" s="18" t="str">
        <f aca="false">IFERROR(MID(D12,1,FIND("|",D12)-1)&amp;"-"&amp;C12,"")</f>
        <v>AICI202206-1-2-2</v>
      </c>
      <c r="B12" s="19" t="n">
        <f aca="false">IFERROR(__xludf.dummyfunction("""COMPUTED_VALUE"""),44936)</f>
        <v>44936</v>
      </c>
      <c r="C12" s="0" t="n">
        <f aca="false">IFERROR(__xludf.dummyfunction("""COMPUTED_VALUE"""),2)</f>
        <v>2</v>
      </c>
      <c r="D12" s="0" t="str">
        <f aca="false">IFERROR(__xludf.dummyfunction("""COMPUTED_VALUE"""),"AICI202206-1-2| Solicitar a la Oficina de Comunicaciones la actualización de la información de los canales de interacción con la ciudadanía ... (01/10/2022 - 30/11/2022)")</f>
        <v>AICI202206-1-2| Solicitar a la Oficina de Comunicaciones la actualización de la información de los canales de interacción con la ciudadanía ... (01/10/2022 - 30/11/2022)</v>
      </c>
      <c r="E12" s="0" t="str">
        <f aca="false">IFERROR(__xludf.dummyfunction("""COMPUTED_VALUE"""),"
La oficina de comunicaciones envía pieza comunicativa,la cual no cumple los criterios de accesibilidad web,según la Resolución 1519 de 2020,anexo 2")</f>
        <v>
La oficina de comunicaciones envía pieza comunicativa,la cual no cumple los criterios de accesibilidad web,según la Resolución 1519 de 2020,anexo 2</v>
      </c>
      <c r="F12" s="0" t="str">
        <f aca="false">IFERROR(__xludf.dummyfunction("""COMPUTED_VALUE"""),"Atrasado")</f>
        <v>Atrasado</v>
      </c>
    </row>
    <row r="13" customFormat="false" ht="14.25" hidden="false" customHeight="false" outlineLevel="0" collapsed="false">
      <c r="A13" s="18" t="str">
        <f aca="false">IFERROR(MID(D13,1,FIND("|",D13)-1)&amp;"-"&amp;C13,"")</f>
        <v>AICI202206-2-3-2</v>
      </c>
      <c r="B13" s="19" t="n">
        <f aca="false">IFERROR(__xludf.dummyfunction("""COMPUTED_VALUE"""),44936)</f>
        <v>44936</v>
      </c>
      <c r="C13" s="0" t="n">
        <f aca="false">IFERROR(__xludf.dummyfunction("""COMPUTED_VALUE"""),2)</f>
        <v>2</v>
      </c>
      <c r="D13" s="0" t="str">
        <f aca="false">IFERROR(__xludf.dummyfunction("""COMPUTED_VALUE"""),"AICI202206-2-3| Reportar el incumplimiento de términos a la Oficina de asuntos disciplinarios (01/09/2022 - 30/11/2022)")</f>
        <v>AICI202206-2-3| Reportar el incumplimiento de términos a la Oficina de asuntos disciplinarios (01/09/2022 - 30/11/2022)</v>
      </c>
      <c r="E13" s="0" t="str">
        <f aca="false">IFERROR(__xludf.dummyfunction("""COMPUTED_VALUE"""),"No se evidencia reporte a la oficina de Control Interno Disciplinario,relacionado con incumplimientos de terminos en respuestas de PQRS")</f>
        <v>No se evidencia reporte a la oficina de Control Interno Disciplinario,relacionado con incumplimientos de terminos en respuestas de PQRS</v>
      </c>
      <c r="F13" s="0" t="str">
        <f aca="false">IFERROR(__xludf.dummyfunction("""COMPUTED_VALUE"""),"Atrasado")</f>
        <v>Atrasado</v>
      </c>
    </row>
    <row r="14" customFormat="false" ht="14.25" hidden="false" customHeight="false" outlineLevel="0" collapsed="false">
      <c r="A14" s="18" t="str">
        <f aca="false">IFERROR(MID(D14,1,FIND("|",D14)-1)&amp;"-"&amp;C14,"")</f>
        <v>AICI202206-3-1-2</v>
      </c>
      <c r="B14" s="19" t="n">
        <f aca="false">IFERROR(__xludf.dummyfunction("""COMPUTED_VALUE"""),44936)</f>
        <v>44936</v>
      </c>
      <c r="C14" s="0" t="n">
        <f aca="false">IFERROR(__xludf.dummyfunction("""COMPUTED_VALUE"""),2)</f>
        <v>2</v>
      </c>
      <c r="D14" s="0" t="str">
        <f aca="false">IFERROR(__xludf.dummyfunction("""COMPUTED_VALUE"""),"AICI202206-3-1| Incluir la información mínima requerida de las solicitudes de acceso a la información, en el informe trimestral de gestión de la voz del usuario, que se publica... (07/06/2022 - 30/11/2022)")</f>
        <v>AICI202206-3-1| Incluir la información mínima requerida de las solicitudes de acceso a la información, en el informe trimestral de gestión de la voz del usuario, que se publica... (07/06/2022 - 30/11/2022)</v>
      </c>
      <c r="E14" s="0" t="str">
        <f aca="false">IFERROR(__xludf.dummyfunction("""COMPUTED_VALUE"""),"En la evidencia recibida de informes trimestrales primer y segundo trimestre,no se vé reflejada,  información mínima requerida de las solicitudes de acceso a la información,")</f>
        <v>En la evidencia recibida de informes trimestrales primer y segundo trimestre,no se vé reflejada,  información mínima requerida de las solicitudes de acceso a la información,</v>
      </c>
      <c r="F14" s="0" t="str">
        <f aca="false">IFERROR(__xludf.dummyfunction("""COMPUTED_VALUE"""),"Atrasado")</f>
        <v>Atrasado</v>
      </c>
    </row>
    <row r="15" customFormat="false" ht="14.25" hidden="false" customHeight="false" outlineLevel="0" collapsed="false">
      <c r="A15" s="18" t="str">
        <f aca="false">IFERROR(MID(D15,1,FIND("|",D15)-1)&amp;"-"&amp;C15,"")</f>
        <v>AICI202206-4-1-2</v>
      </c>
      <c r="B15" s="19" t="n">
        <f aca="false">IFERROR(__xludf.dummyfunction("""COMPUTED_VALUE"""),44936)</f>
        <v>44936</v>
      </c>
      <c r="C15" s="0" t="n">
        <f aca="false">IFERROR(__xludf.dummyfunction("""COMPUTED_VALUE"""),2)</f>
        <v>2</v>
      </c>
      <c r="D15" s="0" t="str">
        <f aca="false">IFERROR(__xludf.dummyfunction("""COMPUTED_VALUE"""),"AICI202206-4-1| Generar de manera conjunta con la Dirección de Gestión del Talento Humano, pieza comunicativa que informe sobre actos corrupción y conflicto de intereses ... (07/06/2022 - 30/09/2022)")</f>
        <v>AICI202206-4-1| Generar de manera conjunta con la Dirección de Gestión del Talento Humano, pieza comunicativa que informe sobre actos corrupción y conflicto de intereses ... (07/06/2022 - 30/09/2022)</v>
      </c>
      <c r="E15" s="0" t="str">
        <f aca="false">IFERROR(__xludf.dummyfunction("""COMPUTED_VALUE"""),"Se observa en la pagina web,un sitio relacionado con el plan anticorrupción,que despliega un formulario de acciones correctivas para la formulación del plan anticorrupción y atención al ciudadano ,no obstante no se encuentra información que explique al ci"&amp;"udadano cuales son actos de corrupción,ni se visualiza el botón de denuncias")</f>
        <v>Se observa en la pagina web,un sitio relacionado con el plan anticorrupción,que despliega un formulario de acciones correctivas para la formulación del plan anticorrupción y atención al ciudadano ,no obstante no se encuentra información que explique al ciudadano cuales son actos de corrupción,ni se visualiza el botón de denuncias</v>
      </c>
      <c r="F15" s="0" t="str">
        <f aca="false">IFERROR(__xludf.dummyfunction("""COMPUTED_VALUE"""),"Atrasado")</f>
        <v>Atrasado</v>
      </c>
    </row>
    <row r="16" customFormat="false" ht="14.25" hidden="false" customHeight="false" outlineLevel="0" collapsed="false">
      <c r="A16" s="18" t="str">
        <f aca="false">IFERROR(MID(D16,1,FIND("|",D16)-1)&amp;"-"&amp;C16,"")</f>
        <v>AICI202206-4-2-2</v>
      </c>
      <c r="B16" s="19" t="n">
        <f aca="false">IFERROR(__xludf.dummyfunction("""COMPUTED_VALUE"""),44936)</f>
        <v>44936</v>
      </c>
      <c r="C16" s="0" t="n">
        <f aca="false">IFERROR(__xludf.dummyfunction("""COMPUTED_VALUE"""),2)</f>
        <v>2</v>
      </c>
      <c r="D16" s="0" t="str">
        <f aca="false">IFERROR(__xludf.dummyfunction("""COMPUTED_VALUE"""),"AICI202206-4-2| Solicitar a la Oficina de Comunicaciones la actualización del link de denuncia por presuntos actos de corrupción (01/10/2022 - 30/11/2022)")</f>
        <v>AICI202206-4-2| Solicitar a la Oficina de Comunicaciones la actualización del link de denuncia por presuntos actos de corrupción (01/10/2022 - 30/11/2022)</v>
      </c>
      <c r="E16" s="0" t="str">
        <f aca="false">IFERROR(__xludf.dummyfunction("""COMPUTED_VALUE"""),"Se observa el link de denuncias https://www.subrednorte.gov.co/sites/default/files/documentos/denuncie_actos_de_corrupcion.jpg,el cual es una imagen y no permite la entrada directa.")</f>
        <v>Se observa el link de denuncias https://www.subrednorte.gov.co/sites/default/files/documentos/denuncie_actos_de_corrupcion.jpg,el cual es una imagen y no permite la entrada directa.</v>
      </c>
      <c r="F16" s="0" t="str">
        <f aca="false">IFERROR(__xludf.dummyfunction("""COMPUTED_VALUE"""),"Atrasado")</f>
        <v>Atrasado</v>
      </c>
    </row>
    <row r="17" customFormat="false" ht="14.25" hidden="false" customHeight="false" outlineLevel="0" collapsed="false">
      <c r="A17" s="18" t="str">
        <f aca="false">IFERROR(MID(D17,1,FIND("|",D17)-1)&amp;"-"&amp;C17,"")</f>
        <v>AICI202206-5-1-2</v>
      </c>
      <c r="B17" s="19" t="n">
        <f aca="false">IFERROR(__xludf.dummyfunction("""COMPUTED_VALUE"""),44936)</f>
        <v>44936</v>
      </c>
      <c r="C17" s="0" t="n">
        <f aca="false">IFERROR(__xludf.dummyfunction("""COMPUTED_VALUE"""),2)</f>
        <v>2</v>
      </c>
      <c r="D17" s="0" t="str">
        <f aca="false">IFERROR(__xludf.dummyfunction("""COMPUTED_VALUE"""),"AICI202206-5-1| Actualizar información y enlaces de la pagina web relacionado con la Oficina de Participación Comunitaria y Servicio al Ciudadano - OPCSC (07/06/2022 - 30/11/2022)")</f>
        <v>AICI202206-5-1| Actualizar información y enlaces de la pagina web relacionado con la Oficina de Participación Comunitaria y Servicio al Ciudadano - OPCSC (07/06/2022 - 30/11/2022)</v>
      </c>
      <c r="E17" s="0" t="str">
        <f aca="false">IFERROR(__xludf.dummyfunction("""COMPUTED_VALUE"""),"No se evidencian de enlaces en la pagina web que conecten con  la Oficina de Participación Comunitaria y Servicio al Ciudadano ")</f>
        <v>No se evidencian de enlaces en la pagina web que conecten con  la Oficina de Participación Comunitaria y Servicio al Ciudadano </v>
      </c>
      <c r="F17" s="0" t="str">
        <f aca="false">IFERROR(__xludf.dummyfunction("""COMPUTED_VALUE"""),"Atrasado")</f>
        <v>Atrasado</v>
      </c>
    </row>
    <row r="18" customFormat="false" ht="14.25" hidden="false" customHeight="false" outlineLevel="0" collapsed="false">
      <c r="A18" s="18" t="str">
        <f aca="false">IFERROR(MID(D18,1,FIND("|",D18)-1)&amp;"-"&amp;C18,"")</f>
        <v>AICI202206-5-2-2</v>
      </c>
      <c r="B18" s="19" t="n">
        <f aca="false">IFERROR(__xludf.dummyfunction("""COMPUTED_VALUE"""),44936)</f>
        <v>44936</v>
      </c>
      <c r="C18" s="0" t="n">
        <f aca="false">IFERROR(__xludf.dummyfunction("""COMPUTED_VALUE"""),2)</f>
        <v>2</v>
      </c>
      <c r="D18" s="0" t="str">
        <f aca="false">IFERROR(__xludf.dummyfunction("""COMPUTED_VALUE"""),"AICI202206-5-2| Monitorear periódicamente que la información relacionada con la atención PQRSD y defensor del ciudadano esté disponible y actualizada en la página WEB de la Subred (07/06/2022 - 30/11/2022)")</f>
        <v>AICI202206-5-2| Monitorear periódicamente que la información relacionada con la atención PQRSD y defensor del ciudadano esté disponible y actualizada en la página WEB de la Subred (07/06/2022 - 30/11/2022)</v>
      </c>
      <c r="E18" s="0" t="str">
        <f aca="false">IFERROR(__xludf.dummyfunction("""COMPUTED_VALUE"""),"en el link https://www.subrednorte.gov.co/transparencia/planeacion/Informe-pqr-denuncias-solicitudes,se observa el reporte de los informes trimestrales relacionados con PQRS")</f>
        <v>en el link https://www.subrednorte.gov.co/transparencia/planeacion/Informe-pqr-denuncias-solicitudes,se observa el reporte de los informes trimestrales relacionados con PQRS</v>
      </c>
      <c r="F18" s="0" t="str">
        <f aca="false">IFERROR(__xludf.dummyfunction("""COMPUTED_VALUE"""),"Completo")</f>
        <v>Completo</v>
      </c>
      <c r="G18" s="0" t="str">
        <f aca="false">IFERROR(__xludf.dummyfunction("""COMPUTED_VALUE"""),"Sí")</f>
        <v>Sí</v>
      </c>
    </row>
    <row r="19" customFormat="false" ht="14.25" hidden="false" customHeight="false" outlineLevel="0" collapsed="false">
      <c r="A19" s="18" t="str">
        <f aca="false">IFERROR(MID(D19,1,FIND("|",D19)-1)&amp;"-"&amp;C19,"")</f>
        <v>AICI202206-6-2-2</v>
      </c>
      <c r="B19" s="19" t="n">
        <f aca="false">IFERROR(__xludf.dummyfunction("""COMPUTED_VALUE"""),44936)</f>
        <v>44936</v>
      </c>
      <c r="C19" s="0" t="n">
        <f aca="false">IFERROR(__xludf.dummyfunction("""COMPUTED_VALUE"""),2)</f>
        <v>2</v>
      </c>
      <c r="D19" s="0" t="str">
        <f aca="false">IFERROR(__xludf.dummyfunction("""COMPUTED_VALUE"""),"AICI202206-6-2| Retroalimentar a los colaboradores, sobre los resultados de seguimiento de las SDS y Dirección de Calidad de la Secretaria General. (07/06/2022 - 30/11/2022)")</f>
        <v>AICI202206-6-2| Retroalimentar a los colaboradores, sobre los resultados de seguimiento de las SDS y Dirección de Calidad de la Secretaria General. (07/06/2022 - 30/11/2022)</v>
      </c>
      <c r="E19" s="0" t="str">
        <f aca="false">IFERROR(__xludf.dummyfunction("""COMPUTED_VALUE"""),"No se recibieron evidencias para esta acción")</f>
        <v>No se recibieron evidencias para esta acción</v>
      </c>
      <c r="F19" s="0" t="str">
        <f aca="false">IFERROR(__xludf.dummyfunction("""COMPUTED_VALUE"""),"Atrasado")</f>
        <v>Atrasado</v>
      </c>
    </row>
    <row r="20" customFormat="false" ht="14.25" hidden="false" customHeight="false" outlineLevel="0" collapsed="false">
      <c r="A20" s="18" t="str">
        <f aca="false">IFERROR(MID(D20,1,FIND("|",D20)-1)&amp;"-"&amp;C20,"")</f>
        <v>AICI202206-6-3-2</v>
      </c>
      <c r="B20" s="19" t="n">
        <f aca="false">IFERROR(__xludf.dummyfunction("""COMPUTED_VALUE"""),44936)</f>
        <v>44936</v>
      </c>
      <c r="C20" s="0" t="n">
        <f aca="false">IFERROR(__xludf.dummyfunction("""COMPUTED_VALUE"""),2)</f>
        <v>2</v>
      </c>
      <c r="D20" s="0" t="str">
        <f aca="false">IFERROR(__xludf.dummyfunction("""COMPUTED_VALUE"""),"AICI202206-6-3| Medir adherencia al procedimiento de Gestión de la Voz del Usuario (01/11/2022 - 30/11/2022)")</f>
        <v>AICI202206-6-3| Medir adherencia al procedimiento de Gestión de la Voz del Usuario (01/11/2022 - 30/11/2022)</v>
      </c>
      <c r="E20" s="0" t="str">
        <f aca="false">IFERROR(__xludf.dummyfunction("""COMPUTED_VALUE"""),"No se recibieron evidencias que soporten esta acción")</f>
        <v>No se recibieron evidencias que soporten esta acción</v>
      </c>
      <c r="F20" s="0" t="str">
        <f aca="false">IFERROR(__xludf.dummyfunction("""COMPUTED_VALUE"""),"Atrasado")</f>
        <v>Atrasado</v>
      </c>
    </row>
    <row r="21" customFormat="false" ht="14.25" hidden="false" customHeight="false" outlineLevel="0" collapsed="false">
      <c r="A21" s="18" t="str">
        <f aca="false">IFERROR(MID(D21,1,FIND("|",D21)-1)&amp;"-"&amp;C21,"")</f>
        <v>AICI202206-7-1-2</v>
      </c>
      <c r="B21" s="19" t="n">
        <f aca="false">IFERROR(__xludf.dummyfunction("""COMPUTED_VALUE"""),44936)</f>
        <v>44936</v>
      </c>
      <c r="C21" s="0" t="n">
        <f aca="false">IFERROR(__xludf.dummyfunction("""COMPUTED_VALUE"""),2)</f>
        <v>2</v>
      </c>
      <c r="D21" s="0" t="str">
        <f aca="false">IFERROR(__xludf.dummyfunction("""COMPUTED_VALUE"""),"AICI202206-7-1| Verificar la existencia de las autorizaciones por escrito del tratamiento de datos personales, anonimizar la información y/o retirar las imágenes del I informe de Gestión Trimestral 2022 (07/06/2022 - 30/06/2022)")</f>
        <v>AICI202206-7-1| Verificar la existencia de las autorizaciones por escrito del tratamiento de datos personales, anonimizar la información y/o retirar las imágenes del I informe de Gestión Trimestral 2022 (07/06/2022 - 30/06/2022)</v>
      </c>
      <c r="E21" s="0" t="str">
        <f aca="false">IFERROR(__xludf.dummyfunction("""COMPUTED_VALUE"""),"Se observa en el II informe trimestral del 2022, fueron ocultados los rostros de los usuarios para cumplir con el tratamiento de datos")</f>
        <v>Se observa en el II informe trimestral del 2022, fueron ocultados los rostros de los usuarios para cumplir con el tratamiento de datos</v>
      </c>
      <c r="F21" s="0" t="str">
        <f aca="false">IFERROR(__xludf.dummyfunction("""COMPUTED_VALUE"""),"Completo")</f>
        <v>Completo</v>
      </c>
      <c r="G21" s="0" t="str">
        <f aca="false">IFERROR(__xludf.dummyfunction("""COMPUTED_VALUE"""),"Sí")</f>
        <v>Sí</v>
      </c>
    </row>
    <row r="22" customFormat="false" ht="14.25" hidden="false" customHeight="false" outlineLevel="0" collapsed="false">
      <c r="A22" s="18" t="str">
        <f aca="false">IFERROR(MID(D22,1,FIND("|",D22)-1)&amp;"-"&amp;C22,"")</f>
        <v>AICI202206-1-2-3</v>
      </c>
      <c r="B22" s="19" t="n">
        <f aca="false">IFERROR(__xludf.dummyfunction("""COMPUTED_VALUE"""),45030)</f>
        <v>45030</v>
      </c>
      <c r="C22" s="0" t="n">
        <f aca="false">IFERROR(__xludf.dummyfunction("""COMPUTED_VALUE"""),3)</f>
        <v>3</v>
      </c>
      <c r="D22" s="0" t="str">
        <f aca="false">IFERROR(__xludf.dummyfunction("""COMPUTED_VALUE"""),"AICI202206-1-2| Solicitar a la Oficina de Comunicaciones la actualización de la información de los canales de interacción con la ciudadanía ... (01/10/2022 - 30/11/2022)")</f>
        <v>AICI202206-1-2| Solicitar a la Oficina de Comunicaciones la actualización de la información de los canales de interacción con la ciudadanía ... (01/10/2022 - 30/11/2022)</v>
      </c>
      <c r="E22" s="0" t="str">
        <f aca="false">IFERROR(__xludf.dummyfunction("""COMPUTED_VALUE"""),"No se obtuvo información por el proceso responsable para realizar el seguimiento de avance a las acciones al plan de mejoramiento PQRS - Atención al Ciudadano.")</f>
        <v>No se obtuvo información por el proceso responsable para realizar el seguimiento de avance a las acciones al plan de mejoramiento PQRS - Atención al Ciudadano.</v>
      </c>
      <c r="F22" s="0" t="str">
        <f aca="false">IFERROR(__xludf.dummyfunction("""COMPUTED_VALUE"""),"Atrasado")</f>
        <v>Atrasado</v>
      </c>
    </row>
    <row r="23" customFormat="false" ht="14.25" hidden="false" customHeight="false" outlineLevel="0" collapsed="false">
      <c r="A23" s="18" t="str">
        <f aca="false">IFERROR(MID(D23,1,FIND("|",D23)-1)&amp;"-"&amp;C23,"")</f>
        <v>AICI202206-2-3-3</v>
      </c>
      <c r="B23" s="19" t="n">
        <f aca="false">IFERROR(__xludf.dummyfunction("""COMPUTED_VALUE"""),45030)</f>
        <v>45030</v>
      </c>
      <c r="C23" s="0" t="n">
        <f aca="false">IFERROR(__xludf.dummyfunction("""COMPUTED_VALUE"""),3)</f>
        <v>3</v>
      </c>
      <c r="D23" s="0" t="str">
        <f aca="false">IFERROR(__xludf.dummyfunction("""COMPUTED_VALUE"""),"AICI202206-2-3| Reportar el incumplimiento de términos a la Oficina de asuntos disciplinarios (01/09/2022 - 30/11/2022)")</f>
        <v>AICI202206-2-3| Reportar el incumplimiento de términos a la Oficina de asuntos disciplinarios (01/09/2022 - 30/11/2022)</v>
      </c>
      <c r="E23" s="0" t="str">
        <f aca="false">IFERROR(__xludf.dummyfunction("""COMPUTED_VALUE"""),"No se obtuvo información por el proceso responsable para realizar el seguimiento de avance a las acciones al plan de mejoramiento PQRS - Atención al Ciudadano.")</f>
        <v>No se obtuvo información por el proceso responsable para realizar el seguimiento de avance a las acciones al plan de mejoramiento PQRS - Atención al Ciudadano.</v>
      </c>
      <c r="F23" s="0" t="str">
        <f aca="false">IFERROR(__xludf.dummyfunction("""COMPUTED_VALUE"""),"Atrasado")</f>
        <v>Atrasado</v>
      </c>
    </row>
    <row r="24" customFormat="false" ht="14.25" hidden="false" customHeight="false" outlineLevel="0" collapsed="false">
      <c r="A24" s="18" t="str">
        <f aca="false">IFERROR(MID(D24,1,FIND("|",D24)-1)&amp;"-"&amp;C24,"")</f>
        <v>AICI202206-3-1-3</v>
      </c>
      <c r="B24" s="19" t="n">
        <f aca="false">IFERROR(__xludf.dummyfunction("""COMPUTED_VALUE"""),45030)</f>
        <v>45030</v>
      </c>
      <c r="C24" s="0" t="n">
        <f aca="false">IFERROR(__xludf.dummyfunction("""COMPUTED_VALUE"""),3)</f>
        <v>3</v>
      </c>
      <c r="D24" s="0" t="str">
        <f aca="false">IFERROR(__xludf.dummyfunction("""COMPUTED_VALUE"""),"AICI202206-3-1| Incluir la información mínima requerida de las solicitudes de acceso a la información, en el informe trimestral de gestión de la voz del usuario, que se publica... (07/06/2022 - 30/11/2022)")</f>
        <v>AICI202206-3-1| Incluir la información mínima requerida de las solicitudes de acceso a la información, en el informe trimestral de gestión de la voz del usuario, que se publica... (07/06/2022 - 30/11/2022)</v>
      </c>
      <c r="E24" s="0" t="str">
        <f aca="false">IFERROR(__xludf.dummyfunction("""COMPUTED_VALUE"""),"No se obtuvo información por el proceso responsable para realizar el seguimiento de avance a las acciones al plan de mejoramiento PQRS - Atención al Ciudadano.")</f>
        <v>No se obtuvo información por el proceso responsable para realizar el seguimiento de avance a las acciones al plan de mejoramiento PQRS - Atención al Ciudadano.</v>
      </c>
      <c r="F24" s="0" t="str">
        <f aca="false">IFERROR(__xludf.dummyfunction("""COMPUTED_VALUE"""),"Atrasado")</f>
        <v>Atrasado</v>
      </c>
    </row>
    <row r="25" customFormat="false" ht="14.25" hidden="false" customHeight="false" outlineLevel="0" collapsed="false">
      <c r="A25" s="18" t="str">
        <f aca="false">IFERROR(MID(D25,1,FIND("|",D25)-1)&amp;"-"&amp;C25,"")</f>
        <v>AICI202206-4-1-3</v>
      </c>
      <c r="B25" s="19" t="n">
        <f aca="false">IFERROR(__xludf.dummyfunction("""COMPUTED_VALUE"""),45030)</f>
        <v>45030</v>
      </c>
      <c r="C25" s="0" t="n">
        <f aca="false">IFERROR(__xludf.dummyfunction("""COMPUTED_VALUE"""),3)</f>
        <v>3</v>
      </c>
      <c r="D25" s="0" t="str">
        <f aca="false">IFERROR(__xludf.dummyfunction("""COMPUTED_VALUE"""),"AICI202206-4-1| Generar de manera conjunta con la Dirección de Gestión del Talento Humano, pieza comunicativa que informe sobre actos corrupción y conflicto de intereses ... (07/06/2022 - 30/09/2022)")</f>
        <v>AICI202206-4-1| Generar de manera conjunta con la Dirección de Gestión del Talento Humano, pieza comunicativa que informe sobre actos corrupción y conflicto de intereses ... (07/06/2022 - 30/09/2022)</v>
      </c>
      <c r="E25" s="0" t="str">
        <f aca="false">IFERROR(__xludf.dummyfunction("""COMPUTED_VALUE"""),"No se obtuvo información por el proceso responsable para realizar el seguimiento de avance a las acciones al plan de mejoramiento PQRS - Atención al Ciudadano.")</f>
        <v>No se obtuvo información por el proceso responsable para realizar el seguimiento de avance a las acciones al plan de mejoramiento PQRS - Atención al Ciudadano.</v>
      </c>
      <c r="F25" s="0" t="str">
        <f aca="false">IFERROR(__xludf.dummyfunction("""COMPUTED_VALUE"""),"Atrasado")</f>
        <v>Atrasado</v>
      </c>
    </row>
    <row r="26" customFormat="false" ht="14.25" hidden="false" customHeight="false" outlineLevel="0" collapsed="false">
      <c r="A26" s="18" t="str">
        <f aca="false">IFERROR(MID(D26,1,FIND("|",D26)-1)&amp;"-"&amp;C26,"")</f>
        <v>AICI202206-4-2-3</v>
      </c>
      <c r="B26" s="19" t="n">
        <f aca="false">IFERROR(__xludf.dummyfunction("""COMPUTED_VALUE"""),45030)</f>
        <v>45030</v>
      </c>
      <c r="C26" s="0" t="n">
        <f aca="false">IFERROR(__xludf.dummyfunction("""COMPUTED_VALUE"""),3)</f>
        <v>3</v>
      </c>
      <c r="D26" s="0" t="str">
        <f aca="false">IFERROR(__xludf.dummyfunction("""COMPUTED_VALUE"""),"AICI202206-4-2| Solicitar a la Oficina de Comunicaciones la actualización del link de denuncia por presuntos actos de corrupción (01/10/2022 - 30/11/2022)")</f>
        <v>AICI202206-4-2| Solicitar a la Oficina de Comunicaciones la actualización del link de denuncia por presuntos actos de corrupción (01/10/2022 - 30/11/2022)</v>
      </c>
      <c r="E26" s="0" t="str">
        <f aca="false">IFERROR(__xludf.dummyfunction("""COMPUTED_VALUE"""),"No se obtuvo información por el proceso responsable para realizar el seguimiento de avance a las acciones al plan de mejoramiento PQRS - Atención al Ciudadano.")</f>
        <v>No se obtuvo información por el proceso responsable para realizar el seguimiento de avance a las acciones al plan de mejoramiento PQRS - Atención al Ciudadano.</v>
      </c>
      <c r="F26" s="0" t="str">
        <f aca="false">IFERROR(__xludf.dummyfunction("""COMPUTED_VALUE"""),"Atrasado")</f>
        <v>Atrasado</v>
      </c>
    </row>
    <row r="27" customFormat="false" ht="14.25" hidden="false" customHeight="false" outlineLevel="0" collapsed="false">
      <c r="A27" s="18" t="str">
        <f aca="false">IFERROR(MID(D27,1,FIND("|",D27)-1)&amp;"-"&amp;C27,"")</f>
        <v>AICI202206-5-1-3</v>
      </c>
      <c r="B27" s="19" t="n">
        <f aca="false">IFERROR(__xludf.dummyfunction("""COMPUTED_VALUE"""),45030)</f>
        <v>45030</v>
      </c>
      <c r="C27" s="0" t="n">
        <f aca="false">IFERROR(__xludf.dummyfunction("""COMPUTED_VALUE"""),3)</f>
        <v>3</v>
      </c>
      <c r="D27" s="0" t="str">
        <f aca="false">IFERROR(__xludf.dummyfunction("""COMPUTED_VALUE"""),"AICI202206-5-1| Actualizar información y enlaces de la pagina web relacionado con la Oficina de Participación Comunitaria y Servicio al Ciudadano - OPCSC (07/06/2022 - 30/11/2022)")</f>
        <v>AICI202206-5-1| Actualizar información y enlaces de la pagina web relacionado con la Oficina de Participación Comunitaria y Servicio al Ciudadano - OPCSC (07/06/2022 - 30/11/2022)</v>
      </c>
      <c r="E27" s="0" t="str">
        <f aca="false">IFERROR(__xludf.dummyfunction("""COMPUTED_VALUE"""),"No se obtuvo información por el proceso responsable para realizar el seguimiento de avance a las acciones al plan de mejoramiento PQRS - Atención al Ciudadano.")</f>
        <v>No se obtuvo información por el proceso responsable para realizar el seguimiento de avance a las acciones al plan de mejoramiento PQRS - Atención al Ciudadano.</v>
      </c>
      <c r="F27" s="0" t="str">
        <f aca="false">IFERROR(__xludf.dummyfunction("""COMPUTED_VALUE"""),"Atrasado")</f>
        <v>Atrasado</v>
      </c>
    </row>
    <row r="28" customFormat="false" ht="14.25" hidden="false" customHeight="false" outlineLevel="0" collapsed="false">
      <c r="A28" s="18" t="str">
        <f aca="false">IFERROR(MID(D28,1,FIND("|",D28)-1)&amp;"-"&amp;C28,"")</f>
        <v>AICI202206-6-2-3</v>
      </c>
      <c r="B28" s="19" t="n">
        <f aca="false">IFERROR(__xludf.dummyfunction("""COMPUTED_VALUE"""),45030)</f>
        <v>45030</v>
      </c>
      <c r="C28" s="0" t="n">
        <f aca="false">IFERROR(__xludf.dummyfunction("""COMPUTED_VALUE"""),3)</f>
        <v>3</v>
      </c>
      <c r="D28" s="0" t="str">
        <f aca="false">IFERROR(__xludf.dummyfunction("""COMPUTED_VALUE"""),"AICI202206-6-2| Retroalimentar a los colaboradores, sobre los resultados de seguimiento de las SDS y Dirección de Calidad de la Secretaria General. (07/06/2022 - 30/11/2022)")</f>
        <v>AICI202206-6-2| Retroalimentar a los colaboradores, sobre los resultados de seguimiento de las SDS y Dirección de Calidad de la Secretaria General. (07/06/2022 - 30/11/2022)</v>
      </c>
      <c r="E28" s="0" t="str">
        <f aca="false">IFERROR(__xludf.dummyfunction("""COMPUTED_VALUE"""),"No se obtuvo información por el proceso responsable para realizar el seguimiento de avance a las acciones al plan de mejoramiento PQRS - Atención al Ciudadano.")</f>
        <v>No se obtuvo información por el proceso responsable para realizar el seguimiento de avance a las acciones al plan de mejoramiento PQRS - Atención al Ciudadano.</v>
      </c>
      <c r="F28" s="0" t="str">
        <f aca="false">IFERROR(__xludf.dummyfunction("""COMPUTED_VALUE"""),"Atrasado")</f>
        <v>Atrasado</v>
      </c>
    </row>
    <row r="29" customFormat="false" ht="14.25" hidden="false" customHeight="false" outlineLevel="0" collapsed="false">
      <c r="A29" s="18" t="str">
        <f aca="false">IFERROR(MID(D29,1,FIND("|",D29)-1)&amp;"-"&amp;C29,"")</f>
        <v>AICI202206-6-3-3</v>
      </c>
      <c r="B29" s="19" t="n">
        <f aca="false">IFERROR(__xludf.dummyfunction("""COMPUTED_VALUE"""),45030)</f>
        <v>45030</v>
      </c>
      <c r="C29" s="0" t="n">
        <f aca="false">IFERROR(__xludf.dummyfunction("""COMPUTED_VALUE"""),3)</f>
        <v>3</v>
      </c>
      <c r="D29" s="0" t="str">
        <f aca="false">IFERROR(__xludf.dummyfunction("""COMPUTED_VALUE"""),"AICI202206-6-3| Medir adherencia al procedimiento de Gestión de la Voz del Usuario (01/11/2022 - 30/11/2022)")</f>
        <v>AICI202206-6-3| Medir adherencia al procedimiento de Gestión de la Voz del Usuario (01/11/2022 - 30/11/2022)</v>
      </c>
      <c r="E29" s="0" t="str">
        <f aca="false">IFERROR(__xludf.dummyfunction("""COMPUTED_VALUE"""),"No se obtuvo información por el proceso responsable para realizar el seguimiento de avance a las acciones al plan de mejoramiento PQRS - Atención al Ciudadano.")</f>
        <v>No se obtuvo información por el proceso responsable para realizar el seguimiento de avance a las acciones al plan de mejoramiento PQRS - Atención al Ciudadano.</v>
      </c>
      <c r="F29" s="0" t="str">
        <f aca="false">IFERROR(__xludf.dummyfunction("""COMPUTED_VALUE"""),"Atrasado")</f>
        <v>Atrasado</v>
      </c>
    </row>
    <row r="30" customFormat="false" ht="14.25" hidden="false" customHeight="false" outlineLevel="0" collapsed="false">
      <c r="A30" s="18" t="str">
        <f aca="false">IFERROR(MID(D30,1,FIND("|",D30)-1)&amp;"-"&amp;C30,"")</f>
        <v>AICI202206-1-2-4</v>
      </c>
      <c r="B30" s="19" t="n">
        <f aca="false">IFERROR(__xludf.dummyfunction("""COMPUTED_VALUE"""),45118)</f>
        <v>45118</v>
      </c>
      <c r="C30" s="0" t="n">
        <f aca="false">IFERROR(__xludf.dummyfunction("""COMPUTED_VALUE"""),4)</f>
        <v>4</v>
      </c>
      <c r="D30" s="0" t="str">
        <f aca="false">IFERROR(__xludf.dummyfunction("""COMPUTED_VALUE"""),"AICI202206-1-2| Solicitar a la Oficina de Comunicaciones la actualización de la información de los canales de interacción con la ciudadanía ... (01/10/2022 - 30/11/2022)")</f>
        <v>AICI202206-1-2| Solicitar a la Oficina de Comunicaciones la actualización de la información de los canales de interacción con la ciudadanía ... (01/10/2022 - 30/11/2022)</v>
      </c>
      <c r="E30" s="0" t="str">
        <f aca="false">IFERROR(__xludf.dummyfunction("""COMPUTED_VALUE"""),"Se tiene soportes de la gestión donde se realiza solicitud a la Oficina asesora de comunicaciones de diseño de pieza comunicativa, se publica en la pagina oficial  en la ruta: https://www.subrednorte.gov.co/transparencia/informacion-entidad/pqrs. Contiene"&amp;" los canales y el enlace que direcciona al SDGPC Bogotá Te Escucha.   y de los mecanismos de interacción")</f>
        <v>Se tiene soportes de la gestión donde se realiza solicitud a la Oficina asesora de comunicaciones de diseño de pieza comunicativa, se publica en la pagina oficial  en la ruta: https://www.subrednorte.gov.co/transparencia/informacion-entidad/pqrs. Contiene los canales y el enlace que direcciona al SDGPC Bogotá Te Escucha.   y de los mecanismos de interacción</v>
      </c>
      <c r="F30" s="0" t="str">
        <f aca="false">IFERROR(__xludf.dummyfunction("""COMPUTED_VALUE"""),"Completo")</f>
        <v>Completo</v>
      </c>
      <c r="G30" s="0" t="str">
        <f aca="false">IFERROR(__xludf.dummyfunction("""COMPUTED_VALUE"""),"Sí")</f>
        <v>Sí</v>
      </c>
    </row>
    <row r="31" customFormat="false" ht="14.25" hidden="false" customHeight="false" outlineLevel="0" collapsed="false">
      <c r="A31" s="18" t="str">
        <f aca="false">IFERROR(MID(D31,1,FIND("|",D31)-1)&amp;"-"&amp;C31,"")</f>
        <v>AICI202206-2-3-4</v>
      </c>
      <c r="B31" s="19" t="n">
        <f aca="false">IFERROR(__xludf.dummyfunction("""COMPUTED_VALUE"""),45118)</f>
        <v>45118</v>
      </c>
      <c r="C31" s="0" t="n">
        <f aca="false">IFERROR(__xludf.dummyfunction("""COMPUTED_VALUE"""),4)</f>
        <v>4</v>
      </c>
      <c r="D31" s="0" t="str">
        <f aca="false">IFERROR(__xludf.dummyfunction("""COMPUTED_VALUE"""),"AICI202206-2-3| Reportar el incumplimiento de términos a la Oficina de asuntos disciplinarios (01/09/2022 - 30/11/2022)")</f>
        <v>AICI202206-2-3| Reportar el incumplimiento de términos a la Oficina de asuntos disciplinarios (01/09/2022 - 30/11/2022)</v>
      </c>
      <c r="E31" s="0" t="str">
        <f aca="false">IFERROR(__xludf.dummyfunction("""COMPUTED_VALUE"""),"Se Evidencian reporte de peticiones extemporáneas, sin embargo son soportes de 2022 y no se evidencian  de este año, además no están enviados al área de control interno disciplinario directamente un informe general o de seguimiento.")</f>
        <v>Se Evidencian reporte de peticiones extemporáneas, sin embargo son soportes de 2022 y no se evidencian  de este año, además no están enviados al área de control interno disciplinario directamente un informe general o de seguimiento.</v>
      </c>
      <c r="F31" s="0" t="str">
        <f aca="false">IFERROR(__xludf.dummyfunction("""COMPUTED_VALUE"""),"Atrasado")</f>
        <v>Atrasado</v>
      </c>
    </row>
    <row r="32" customFormat="false" ht="14.25" hidden="false" customHeight="false" outlineLevel="0" collapsed="false">
      <c r="A32" s="18" t="str">
        <f aca="false">IFERROR(MID(D32,1,FIND("|",D32)-1)&amp;"-"&amp;C32,"")</f>
        <v>AICI202206-3-1-4</v>
      </c>
      <c r="B32" s="19" t="n">
        <f aca="false">IFERROR(__xludf.dummyfunction("""COMPUTED_VALUE"""),45118)</f>
        <v>45118</v>
      </c>
      <c r="C32" s="0" t="n">
        <f aca="false">IFERROR(__xludf.dummyfunction("""COMPUTED_VALUE"""),4)</f>
        <v>4</v>
      </c>
      <c r="D32" s="0" t="str">
        <f aca="false">IFERROR(__xludf.dummyfunction("""COMPUTED_VALUE"""),"AICI202206-3-1| Incluir la información mínima requerida de las solicitudes de acceso a la información, en el informe trimestral de gestión de la voz del usuario, que se publica... (07/06/2022 - 30/11/2022)")</f>
        <v>AICI202206-3-1| Incluir la información mínima requerida de las solicitudes de acceso a la información, en el informe trimestral de gestión de la voz del usuario, que se publica... (07/06/2022 - 30/11/2022)</v>
      </c>
      <c r="E32" s="0" t="str">
        <f aca="false">IFERROR(__xludf.dummyfunction("""COMPUTED_VALUE"""),"Se observa en la pagina de la subred  la publicación de los informes trimestrales  y donde se incluye en el informe de gestión trimestral de la Voz del usuario, el capitulo denominado EN ATENCION A LA LEY DE TRANSPARENCIA Y DEL DERECHO DE
ACCESO A LA INFO"&amp;"RMACIÓN PÚBLICA – LEY 1712 DE 2014 ")</f>
        <v>Se observa en la pagina de la subred  la publicación de los informes trimestrales  y donde se incluye en el informe de gestión trimestral de la Voz del usuario, el capitulo denominado EN ATENCION A LA LEY DE TRANSPARENCIA Y DEL DERECHO DE
ACCESO A LA INFORMACIÓN PÚBLICA – LEY 1712 DE 2014 </v>
      </c>
      <c r="F32" s="0" t="str">
        <f aca="false">IFERROR(__xludf.dummyfunction("""COMPUTED_VALUE"""),"Completo")</f>
        <v>Completo</v>
      </c>
      <c r="G32" s="0" t="str">
        <f aca="false">IFERROR(__xludf.dummyfunction("""COMPUTED_VALUE"""),"Sí")</f>
        <v>Sí</v>
      </c>
    </row>
    <row r="33" customFormat="false" ht="14.25" hidden="false" customHeight="false" outlineLevel="0" collapsed="false">
      <c r="A33" s="18" t="str">
        <f aca="false">IFERROR(MID(D33,1,FIND("|",D33)-1)&amp;"-"&amp;C33,"")</f>
        <v>AICI202206-4-1-4</v>
      </c>
      <c r="B33" s="19" t="n">
        <f aca="false">IFERROR(__xludf.dummyfunction("""COMPUTED_VALUE"""),45118)</f>
        <v>45118</v>
      </c>
      <c r="C33" s="0" t="n">
        <f aca="false">IFERROR(__xludf.dummyfunction("""COMPUTED_VALUE"""),4)</f>
        <v>4</v>
      </c>
      <c r="D33" s="0" t="str">
        <f aca="false">IFERROR(__xludf.dummyfunction("""COMPUTED_VALUE"""),"AICI202206-4-1| Generar de manera conjunta con la Dirección de Gestión del Talento Humano, pieza comunicativa que informe sobre actos corrupción y conflicto de intereses ... (07/06/2022 - 30/09/2022)")</f>
        <v>AICI202206-4-1| Generar de manera conjunta con la Dirección de Gestión del Talento Humano, pieza comunicativa que informe sobre actos corrupción y conflicto de intereses ... (07/06/2022 - 30/09/2022)</v>
      </c>
      <c r="E33" s="0" t="str">
        <f aca="false">IFERROR(__xludf.dummyfunction("""COMPUTED_VALUE"""),"En trabajo conjunto con la Oficina de Talento Humano, Desarrollo institucional, Oficina de Control Interno Disciplinario, Oficina de comunicaciones se adelanta pieza comunicativa para publicación en Botón de denuncias  en la ruta https://www.subrednorte.g"&amp;"ov.co/sites/default/files/documentos/denuncie_actos_de_corrupcion.jpg  al revisar la información de la pieza hace falta mayor interacción y que de mayor información sobre que se considera acto de corrupción y que es una queja. ")</f>
        <v>En trabajo conjunto con la Oficina de Talento Humano, Desarrollo institucional, Oficina de Control Interno Disciplinario, Oficina de comunicaciones se adelanta pieza comunicativa para publicación en Botón de denuncias  en la ruta https://www.subrednorte.gov.co/sites/default/files/documentos/denuncie_actos_de_corrupcion.jpg  al revisar la información de la pieza hace falta mayor interacción y que de mayor información sobre que se considera acto de corrupción y que es una queja. </v>
      </c>
      <c r="F33" s="0" t="str">
        <f aca="false">IFERROR(__xludf.dummyfunction("""COMPUTED_VALUE"""),"Completo")</f>
        <v>Completo</v>
      </c>
      <c r="G33" s="0" t="str">
        <f aca="false">IFERROR(__xludf.dummyfunction("""COMPUTED_VALUE"""),"No")</f>
        <v>No</v>
      </c>
    </row>
    <row r="34" customFormat="false" ht="14.25" hidden="false" customHeight="false" outlineLevel="0" collapsed="false">
      <c r="A34" s="18" t="str">
        <f aca="false">IFERROR(MID(D34,1,FIND("|",D34)-1)&amp;"-"&amp;C34,"")</f>
        <v>AICI202206-4-2-4</v>
      </c>
      <c r="B34" s="19" t="n">
        <f aca="false">IFERROR(__xludf.dummyfunction("""COMPUTED_VALUE"""),45118)</f>
        <v>45118</v>
      </c>
      <c r="C34" s="0" t="n">
        <f aca="false">IFERROR(__xludf.dummyfunction("""COMPUTED_VALUE"""),4)</f>
        <v>4</v>
      </c>
      <c r="D34" s="0" t="str">
        <f aca="false">IFERROR(__xludf.dummyfunction("""COMPUTED_VALUE"""),"AICI202206-4-2| Solicitar a la Oficina de Comunicaciones la actualización del link de denuncia por presuntos actos de corrupción (01/10/2022 - 30/11/2022)")</f>
        <v>AICI202206-4-2| Solicitar a la Oficina de Comunicaciones la actualización del link de denuncia por presuntos actos de corrupción (01/10/2022 - 30/11/2022)</v>
      </c>
      <c r="E34" s="0" t="str">
        <f aca="false">IFERROR(__xludf.dummyfunction("""COMPUTED_VALUE"""),"En trabajo conjunto con la Oficina de Talento Humano, Desarrollo institucional, Oficina de Control Interno Disciplinario, Oficina de comunicaciones se adelanta pieza comunicativa para publicación en Botón de denuncias  en la ruta https://www.subrednorte.g"&amp;"ov.co/sites/default/files/documentos/denuncie_actos_de_corrupcion.jpg  al revisar la información de la pieza hace falta mayor interacción y que de mayor información sobre que se considera acto de corrupción y que es una queja. ")</f>
        <v>En trabajo conjunto con la Oficina de Talento Humano, Desarrollo institucional, Oficina de Control Interno Disciplinario, Oficina de comunicaciones se adelanta pieza comunicativa para publicación en Botón de denuncias  en la ruta https://www.subrednorte.gov.co/sites/default/files/documentos/denuncie_actos_de_corrupcion.jpg  al revisar la información de la pieza hace falta mayor interacción y que de mayor información sobre que se considera acto de corrupción y que es una queja. </v>
      </c>
      <c r="F34" s="0" t="str">
        <f aca="false">IFERROR(__xludf.dummyfunction("""COMPUTED_VALUE"""),"Completo")</f>
        <v>Completo</v>
      </c>
      <c r="G34" s="0" t="str">
        <f aca="false">IFERROR(__xludf.dummyfunction("""COMPUTED_VALUE"""),"No")</f>
        <v>No</v>
      </c>
    </row>
    <row r="35" customFormat="false" ht="14.25" hidden="false" customHeight="false" outlineLevel="0" collapsed="false">
      <c r="A35" s="18" t="str">
        <f aca="false">IFERROR(MID(D35,1,FIND("|",D35)-1)&amp;"-"&amp;C35,"")</f>
        <v>AICI202206-5-1-4</v>
      </c>
      <c r="B35" s="19" t="n">
        <f aca="false">IFERROR(__xludf.dummyfunction("""COMPUTED_VALUE"""),45118)</f>
        <v>45118</v>
      </c>
      <c r="C35" s="0" t="n">
        <f aca="false">IFERROR(__xludf.dummyfunction("""COMPUTED_VALUE"""),4)</f>
        <v>4</v>
      </c>
      <c r="D35" s="0" t="str">
        <f aca="false">IFERROR(__xludf.dummyfunction("""COMPUTED_VALUE"""),"AICI202206-5-1| Actualizar información y enlaces de la pagina web relacionado con la Oficina de Participación Comunitaria y Servicio al Ciudadano - OPCSC (07/06/2022 - 30/11/2022)")</f>
        <v>AICI202206-5-1| Actualizar información y enlaces de la pagina web relacionado con la Oficina de Participación Comunitaria y Servicio al Ciudadano - OPCSC (07/06/2022 - 30/11/2022)</v>
      </c>
      <c r="E35" s="0" t="str">
        <f aca="false">IFERROR(__xludf.dummyfunction("""COMPUTED_VALUE"""),"En la pagina Web en el  Banner de servicio al ciudadano se encuentra actualizada la pieza comunicativa del Defensor del Ciudadano, de la misma manera se hizo la solicitud para incluir en la pagina los informes del Defensor de Ciudadano en la ruta https://"&amp;"www.subrednorte.gov.co/transparencia/planeacion/otros-planes , en esta ruta  están los informes de gestión dentro de los cuales se describen las funciones del  defensor del ciudadano. se sugiere que en la pieza del defensor del consumidor también se incor"&amp;"poren las funciones.")</f>
        <v>En la pagina Web en el  Banner de servicio al ciudadano se encuentra actualizada la pieza comunicativa del Defensor del Ciudadano, de la misma manera se hizo la solicitud para incluir en la pagina los informes del Defensor de Ciudadano en la ruta https://www.subrednorte.gov.co/transparencia/planeacion/otros-planes , en esta ruta  están los informes de gestión dentro de los cuales se describen las funciones del  defensor del ciudadano. se sugiere que en la pieza del defensor del consumidor también se incorporen las funciones.</v>
      </c>
      <c r="F35" s="0" t="str">
        <f aca="false">IFERROR(__xludf.dummyfunction("""COMPUTED_VALUE"""),"Completo")</f>
        <v>Completo</v>
      </c>
      <c r="G35" s="0" t="str">
        <f aca="false">IFERROR(__xludf.dummyfunction("""COMPUTED_VALUE"""),"Sí")</f>
        <v>Sí</v>
      </c>
    </row>
    <row r="36" customFormat="false" ht="14.25" hidden="false" customHeight="false" outlineLevel="0" collapsed="false">
      <c r="A36" s="18" t="str">
        <f aca="false">IFERROR(MID(D36,1,FIND("|",D36)-1)&amp;"-"&amp;C36,"")</f>
        <v>AICI202206-6-2-4</v>
      </c>
      <c r="B36" s="19" t="n">
        <f aca="false">IFERROR(__xludf.dummyfunction("""COMPUTED_VALUE"""),45118)</f>
        <v>45118</v>
      </c>
      <c r="C36" s="0" t="n">
        <f aca="false">IFERROR(__xludf.dummyfunction("""COMPUTED_VALUE"""),4)</f>
        <v>4</v>
      </c>
      <c r="D36" s="0" t="str">
        <f aca="false">IFERROR(__xludf.dummyfunction("""COMPUTED_VALUE"""),"AICI202206-6-2| Retroalimentar a los colaboradores, sobre los resultados de seguimiento de las SDS y Dirección de Calidad de la Secretaria General. (07/06/2022 - 30/11/2022)")</f>
        <v>AICI202206-6-2| Retroalimentar a los colaboradores, sobre los resultados de seguimiento de las SDS y Dirección de Calidad de la Secretaria General. (07/06/2022 - 30/11/2022)</v>
      </c>
      <c r="E36" s="0" t="str">
        <f aca="false">IFERROR(__xludf.dummyfunction("""COMPUTED_VALUE"""),"Se evidencian soportes de la socialización de resultados de seguimiento  de la SDS  en le mes de septiembre para el tercer trimestre de 2022 y en el mes de abril 2023 del cuarto trimestre 2022")</f>
        <v>Se evidencian soportes de la socialización de resultados de seguimiento  de la SDS  en le mes de septiembre para el tercer trimestre de 2022 y en el mes de abril 2023 del cuarto trimestre 2022</v>
      </c>
      <c r="F36" s="0" t="str">
        <f aca="false">IFERROR(__xludf.dummyfunction("""COMPUTED_VALUE"""),"Completo")</f>
        <v>Completo</v>
      </c>
      <c r="G36" s="0" t="str">
        <f aca="false">IFERROR(__xludf.dummyfunction("""COMPUTED_VALUE"""),"Sí")</f>
        <v>Sí</v>
      </c>
    </row>
    <row r="37" customFormat="false" ht="14.25" hidden="false" customHeight="false" outlineLevel="0" collapsed="false">
      <c r="A37" s="18" t="str">
        <f aca="false">IFERROR(MID(D37,1,FIND("|",D37)-1)&amp;"-"&amp;C37,"")</f>
        <v>AICI202206-6-3-4</v>
      </c>
      <c r="B37" s="19" t="n">
        <f aca="false">IFERROR(__xludf.dummyfunction("""COMPUTED_VALUE"""),45118)</f>
        <v>45118</v>
      </c>
      <c r="C37" s="0" t="n">
        <f aca="false">IFERROR(__xludf.dummyfunction("""COMPUTED_VALUE"""),4)</f>
        <v>4</v>
      </c>
      <c r="D37" s="0" t="str">
        <f aca="false">IFERROR(__xludf.dummyfunction("""COMPUTED_VALUE"""),"AICI202206-6-3| Medir adherencia al procedimiento de Gestión de la Voz del Usuario (01/11/2022 - 30/11/2022)")</f>
        <v>AICI202206-6-3| Medir adherencia al procedimiento de Gestión de la Voz del Usuario (01/11/2022 - 30/11/2022)</v>
      </c>
      <c r="E37" s="0" t="str">
        <f aca="false">IFERROR(__xludf.dummyfunction("""COMPUTED_VALUE"""),"Se presenta la socialización de criterios de calidad con lideres de procesos a través de correo electrónico, además se observa medición de adherencia al procedimiento con el equipo de trabajo de Gestión de la Voz del Usuario  dentro de los soportes se tie"&amp;"ne  Acta de reunión del equipo y correos de socialización con los lideres.")</f>
        <v>Se presenta la socialización de criterios de calidad con lideres de procesos a través de correo electrónico, además se observa medición de adherencia al procedimiento con el equipo de trabajo de Gestión de la Voz del Usuario  dentro de los soportes se tiene  Acta de reunión del equipo y correos de socialización con los lideres.</v>
      </c>
      <c r="F37" s="0" t="str">
        <f aca="false">IFERROR(__xludf.dummyfunction("""COMPUTED_VALUE"""),"Completo")</f>
        <v>Completo</v>
      </c>
      <c r="G37" s="0" t="str">
        <f aca="false">IFERROR(__xludf.dummyfunction("""COMPUTED_VALUE"""),"Sí")</f>
        <v>Sí</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1796</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AICI202205-1-1-1</v>
      </c>
      <c r="B4" s="19" t="n">
        <f aca="false">IFERROR(__xludf.dummyfunction("""COMPUTED_VALUE"""),44931)</f>
        <v>44931</v>
      </c>
      <c r="C4" s="0" t="n">
        <f aca="false">IFERROR(__xludf.dummyfunction("""COMPUTED_VALUE"""),1)</f>
        <v>1</v>
      </c>
      <c r="D4" s="0" t="str">
        <f aca="false">IFERROR(__xludf.dummyfunction("""COMPUTED_VALUE"""),"AICI202205-1-1| Diseñar herramienta para identificación de servicios de la Dirección ambulatoria por unidad de servicios de salud. (18/08/2022 - 01/10/2022)")</f>
        <v>AICI202205-1-1| Diseñar herramienta para identificación de servicios de la Dirección ambulatoria por unidad de servicios de salud. (18/08/2022 - 01/10/2022)</v>
      </c>
      <c r="E4" s="0" t="str">
        <f aca="false">IFERROR(__xludf.dummyfunction("""COMPUTED_VALUE"""),"Se evidencia  formato MI-GA-F- 67-01  identificación de servicios de la dirección ambulatoria por unidad de servicios,se anexa")</f>
        <v>Se evidencia  formato MI-GA-F- 67-01  identificación de servicios de la dirección ambulatoria por unidad de servicios,se anexa</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AICI202205-1-2-1</v>
      </c>
      <c r="B5" s="19" t="n">
        <f aca="false">IFERROR(__xludf.dummyfunction("""COMPUTED_VALUE"""),44931)</f>
        <v>44931</v>
      </c>
      <c r="C5" s="0" t="n">
        <f aca="false">IFERROR(__xludf.dummyfunction("""COMPUTED_VALUE"""),1)</f>
        <v>1</v>
      </c>
      <c r="D5" s="0" t="str">
        <f aca="false">IFERROR(__xludf.dummyfunction("""COMPUTED_VALUE"""),"AICI202205-1-2| Aplicar la herramienta diseñada para cada unidad de servicios de salud que oferte servicios ambulatorios … (28/08/2022 - 01/10/2022)")</f>
        <v>AICI202205-1-2| Aplicar la herramienta diseñada para cada unidad de servicios de salud que oferte servicios ambulatorios … (28/08/2022 - 01/10/2022)</v>
      </c>
      <c r="E5" s="0" t="str">
        <f aca="false">IFERROR(__xludf.dummyfunction("""COMPUTED_VALUE"""),"Se observan formatos diligenciados de las 23 unidades")</f>
        <v>Se observan formatos diligenciados de las 23 unidades</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AICI202205-1-3-1</v>
      </c>
      <c r="B6" s="19" t="n">
        <f aca="false">IFERROR(__xludf.dummyfunction("""COMPUTED_VALUE"""),44931)</f>
        <v>44931</v>
      </c>
      <c r="C6" s="0" t="n">
        <f aca="false">IFERROR(__xludf.dummyfunction("""COMPUTED_VALUE"""),1)</f>
        <v>1</v>
      </c>
      <c r="D6" s="0" t="str">
        <f aca="false">IFERROR(__xludf.dummyfunction("""COMPUTED_VALUE"""),"AICI202205-1-3| Cruzar la información obtenida en la herramienta con lo registrado en el REPS para identificar … (01/09/2022 - 01/10/2022)")</f>
        <v>AICI202205-1-3| Cruzar la información obtenida en la herramienta con lo registrado en el REPS para identificar … (01/09/2022 - 01/10/2022)</v>
      </c>
      <c r="E6" s="0" t="str">
        <f aca="false">IFERROR(__xludf.dummyfunction("""COMPUTED_VALUE"""),"Se observa información de capacidad instalada,elaborada por cada área, se observa cruce de información  con los REPS,se evidencia correos de Habilitación y de ambulatorios a las diferentes áreas")</f>
        <v>Se observa información de capacidad instalada,elaborada por cada área, se observa cruce de información  con los REPS,se evidencia correos de Habilitación y de ambulatorios a las diferentes áreas</v>
      </c>
      <c r="F6" s="0" t="str">
        <f aca="false">IFERROR(__xludf.dummyfunction("""COMPUTED_VALUE"""),"Completo")</f>
        <v>Completo</v>
      </c>
      <c r="G6" s="0" t="str">
        <f aca="false">IFERROR(__xludf.dummyfunction("""COMPUTED_VALUE"""),"Sí")</f>
        <v>Sí</v>
      </c>
    </row>
    <row r="7" customFormat="false" ht="14.25" hidden="false" customHeight="false" outlineLevel="0" collapsed="false">
      <c r="A7" s="18" t="str">
        <f aca="false">IFERROR(MID(D7,1,FIND("|",D7)-1)&amp;"-"&amp;C7,"")</f>
        <v>AICI202205-1-5-1</v>
      </c>
      <c r="B7" s="19" t="n">
        <f aca="false">IFERROR(__xludf.dummyfunction("""COMPUTED_VALUE"""),44931)</f>
        <v>44931</v>
      </c>
      <c r="C7" s="0" t="n">
        <f aca="false">IFERROR(__xludf.dummyfunction("""COMPUTED_VALUE"""),1)</f>
        <v>1</v>
      </c>
      <c r="D7" s="0" t="str">
        <f aca="false">IFERROR(__xludf.dummyfunction("""COMPUTED_VALUE"""),"AICI202205-1-5| Revisión mensual de Reps Vs Servicios por sede para determinar necesidad de novedades (19/10/2022 - 19/12/2022)")</f>
        <v>AICI202205-1-5| Revisión mensual de Reps Vs Servicios por sede para determinar necesidad de novedades (19/10/2022 - 19/12/2022)</v>
      </c>
      <c r="E7" s="0" t="str">
        <f aca="false">IFERROR(__xludf.dummyfunction("""COMPUTED_VALUE""")," Se evidencia revisión mensual reps con cudro de capacidad instalada,se enexan bases de los meses de octubre,novimbre y diciembre.")</f>
        <v> Se evidencia revisión mensual reps con cudro de capacidad instalada,se enexan bases de los meses de octubre,novimbre y diciembre.</v>
      </c>
      <c r="F7" s="0" t="str">
        <f aca="false">IFERROR(__xludf.dummyfunction("""COMPUTED_VALUE"""),"Completo")</f>
        <v>Completo</v>
      </c>
      <c r="G7" s="0" t="str">
        <f aca="false">IFERROR(__xludf.dummyfunction("""COMPUTED_VALUE"""),"Sí")</f>
        <v>Sí</v>
      </c>
    </row>
    <row r="8" customFormat="false" ht="14.25" hidden="false" customHeight="false" outlineLevel="0" collapsed="false">
      <c r="A8" s="18" t="str">
        <f aca="false">IFERROR(MID(D8,1,FIND("|",D8)-1)&amp;"-"&amp;C8,"")</f>
        <v>AICI202205-2-1-1</v>
      </c>
      <c r="B8" s="19" t="n">
        <f aca="false">IFERROR(__xludf.dummyfunction("""COMPUTED_VALUE"""),44931)</f>
        <v>44931</v>
      </c>
      <c r="C8" s="0" t="n">
        <f aca="false">IFERROR(__xludf.dummyfunction("""COMPUTED_VALUE"""),1)</f>
        <v>1</v>
      </c>
      <c r="D8" s="0" t="str">
        <f aca="false">IFERROR(__xludf.dummyfunction("""COMPUTED_VALUE"""),"AICI202205-2-1| Solicitar vía correo electrónico a la Dirección de Talento Humano y a la Dirección de Contratación, el mecanismo … (18/08/2022 - 01/10/2022)")</f>
        <v>AICI202205-2-1| Solicitar vía correo electrónico a la Dirección de Talento Humano y a la Dirección de Contratación, el mecanismo … (18/08/2022 - 01/10/2022)</v>
      </c>
      <c r="E8" s="0" t="str">
        <f aca="false">IFERROR(__xludf.dummyfunction("""COMPUTED_VALUE"""),"Talento Humano,envía matriz en excell ,donde semanalmente realizan seguimiento a los cursos proximos a vencerse y se van actualizando ,se observan algunos documentos en revisión,relacionados con el procedimiento para la contratación del personal por OPS")</f>
        <v>Talento Humano,envía matriz en excell ,donde semanalmente realizan seguimiento a los cursos proximos a vencerse y se van actualizando ,se observan algunos documentos en revisión,relacionados con el procedimiento para la contratación del personal por OPS</v>
      </c>
      <c r="F8" s="0" t="str">
        <f aca="false">IFERROR(__xludf.dummyfunction("""COMPUTED_VALUE"""),"Completo")</f>
        <v>Completo</v>
      </c>
      <c r="G8" s="0" t="str">
        <f aca="false">IFERROR(__xludf.dummyfunction("""COMPUTED_VALUE"""),"Sí")</f>
        <v>Sí</v>
      </c>
    </row>
    <row r="9" customFormat="false" ht="14.25" hidden="false" customHeight="false" outlineLevel="0" collapsed="false">
      <c r="A9" s="18" t="str">
        <f aca="false">IFERROR(MID(D9,1,FIND("|",D9)-1)&amp;"-"&amp;C9,"")</f>
        <v>AICI202205-1-4-1</v>
      </c>
      <c r="B9" s="19" t="n">
        <f aca="false">IFERROR(__xludf.dummyfunction("""COMPUTED_VALUE"""),44931)</f>
        <v>44931</v>
      </c>
      <c r="C9" s="0" t="n">
        <f aca="false">IFERROR(__xludf.dummyfunction("""COMPUTED_VALUE"""),1)</f>
        <v>1</v>
      </c>
      <c r="D9" s="0" t="str">
        <f aca="false">IFERROR(__xludf.dummyfunction("""COMPUTED_VALUE"""),"AICI202205-1-4| Radicar en la oficina de Calidad las novedades a realizar en el REPS (12/09/2022 - 19/12/2022)")</f>
        <v>AICI202205-1-4| Radicar en la oficina de Calidad las novedades a realizar en el REPS (12/09/2022 - 19/12/2022)</v>
      </c>
      <c r="E9" s="0" t="str">
        <f aca="false">IFERROR(__xludf.dummyfunction("""COMPUTED_VALUE"""),"Se anexan novedades de habilitación,  radicadas en los meses de octubre,noviembre y diciembre")</f>
        <v>Se anexan novedades de habilitación,  radicadas en los meses de octubre,noviembre y diciembre</v>
      </c>
      <c r="F9" s="0" t="str">
        <f aca="false">IFERROR(__xludf.dummyfunction("""COMPUTED_VALUE"""),"Completo")</f>
        <v>Completo</v>
      </c>
      <c r="G9" s="0" t="str">
        <f aca="false">IFERROR(__xludf.dummyfunction("""COMPUTED_VALUE"""),"Sí")</f>
        <v>Sí</v>
      </c>
    </row>
    <row r="10" customFormat="false" ht="14.25" hidden="false" customHeight="false" outlineLevel="0" collapsed="false">
      <c r="A10" s="18" t="str">
        <f aca="false">IFERROR(MID(D10,1,FIND("|",D10)-1)&amp;"-"&amp;C10,"")</f>
        <v>AICI202205-3-1-1</v>
      </c>
      <c r="B10" s="19" t="n">
        <f aca="false">IFERROR(__xludf.dummyfunction("""COMPUTED_VALUE"""),44931)</f>
        <v>44931</v>
      </c>
      <c r="C10" s="0" t="n">
        <f aca="false">IFERROR(__xludf.dummyfunction("""COMPUTED_VALUE"""),1)</f>
        <v>1</v>
      </c>
      <c r="D10" s="0" t="str">
        <f aca="false">IFERROR(__xludf.dummyfunction("""COMPUTED_VALUE"""),"AICI202205-3-1| Socializar a supervisores el manual de contratación y supervisión e interventoría institucional. (18/08/2022 - 18/11/2022)")</f>
        <v>AICI202205-3-1| Socializar a supervisores el manual de contratación y supervisión e interventoría institucional. (18/08/2022 - 18/11/2022)</v>
      </c>
      <c r="E10" s="0" t="str">
        <f aca="false">IFERROR(__xludf.dummyfunction("""COMPUTED_VALUE"""),"Se anexan las actas de capacitación a supervisores,en diferentes fechas y áreas,la evaluación realizada a supervisores,pendiente la socialización del manual de contratación por parte del área de contratación,se anexan correos solicitando la capacitación")</f>
        <v>Se anexan las actas de capacitación a supervisores,en diferentes fechas y áreas,la evaluación realizada a supervisores,pendiente la socialización del manual de contratación por parte del área de contratación,se anexan correos solicitando la capacitación</v>
      </c>
      <c r="F10" s="0" t="str">
        <f aca="false">IFERROR(__xludf.dummyfunction("""COMPUTED_VALUE"""),"Atrasado")</f>
        <v>Atrasado</v>
      </c>
    </row>
    <row r="11" customFormat="false" ht="14.25" hidden="false" customHeight="false" outlineLevel="0" collapsed="false">
      <c r="A11" s="18" t="str">
        <f aca="false">IFERROR(MID(D11,1,FIND("|",D11)-1)&amp;"-"&amp;C11,"")</f>
        <v>AICI202205-3-2-1</v>
      </c>
      <c r="B11" s="19" t="n">
        <f aca="false">IFERROR(__xludf.dummyfunction("""COMPUTED_VALUE"""),44932)</f>
        <v>44932</v>
      </c>
      <c r="C11" s="0" t="n">
        <f aca="false">IFERROR(__xludf.dummyfunction("""COMPUTED_VALUE"""),1)</f>
        <v>1</v>
      </c>
      <c r="D11" s="0" t="str">
        <f aca="false">IFERROR(__xludf.dummyfunction("""COMPUTED_VALUE"""),"AICI202205-3-2| Solicitar acompañamiento de la Oficina de Calidad para que trimestralmente se realice seguimiento al cumplimiento… (18/08/2022 - 18/11/2022)")</f>
        <v>AICI202205-3-2| Solicitar acompañamiento de la Oficina de Calidad para que trimestralmente se realice seguimiento al cumplimiento… (18/08/2022 - 18/11/2022)</v>
      </c>
      <c r="E11" s="0" t="str">
        <f aca="false">IFERROR(__xludf.dummyfunction("""COMPUTED_VALUE"""),"Se evidencia correo enviado a Calidad con fecha de 30 de agosto,solicitando el seguimiento trimestral de habilitación")</f>
        <v>Se evidencia correo enviado a Calidad con fecha de 30 de agosto,solicitando el seguimiento trimestral de habilitación</v>
      </c>
      <c r="F11" s="0" t="str">
        <f aca="false">IFERROR(__xludf.dummyfunction("""COMPUTED_VALUE"""),"Completo")</f>
        <v>Completo</v>
      </c>
      <c r="G11" s="0" t="str">
        <f aca="false">IFERROR(__xludf.dummyfunction("""COMPUTED_VALUE"""),"Sí")</f>
        <v>Sí</v>
      </c>
    </row>
    <row r="12" customFormat="false" ht="14.25" hidden="false" customHeight="false" outlineLevel="0" collapsed="false">
      <c r="A12" s="18" t="str">
        <f aca="false">IFERROR(MID(D12,1,FIND("|",D12)-1)&amp;"-"&amp;C12,"")</f>
        <v>AICI202205-3-3-1</v>
      </c>
      <c r="B12" s="19" t="n">
        <f aca="false">IFERROR(__xludf.dummyfunction("""COMPUTED_VALUE"""),44932)</f>
        <v>44932</v>
      </c>
      <c r="C12" s="0" t="n">
        <f aca="false">IFERROR(__xludf.dummyfunction("""COMPUTED_VALUE"""),1)</f>
        <v>1</v>
      </c>
      <c r="D12" s="0" t="str">
        <f aca="false">IFERROR(__xludf.dummyfunction("""COMPUTED_VALUE"""),"AICI202205-3-3| Seguimiento trimestral al cumplimiento de estándares de Sistema Único de Habilitación mediante la aplicación de … (18/08/2022 - 18/11/2022)")</f>
        <v>AICI202205-3-3| Seguimiento trimestral al cumplimiento de estándares de Sistema Único de Habilitación mediante la aplicación de … (18/08/2022 - 18/11/2022)</v>
      </c>
      <c r="E12" s="0" t="str">
        <f aca="false">IFERROR(__xludf.dummyfunction("""COMPUTED_VALUE"""),"Se observa autoevaluaciones en  cada una de las sedes por cada uno de los estandares de habilitación,las actas se encuentran en el aplicativo almera")</f>
        <v>Se observa autoevaluaciones en  cada una de las sedes por cada uno de los estandares de habilitación,las actas se encuentran en el aplicativo almera</v>
      </c>
      <c r="F12" s="0" t="str">
        <f aca="false">IFERROR(__xludf.dummyfunction("""COMPUTED_VALUE"""),"Completo")</f>
        <v>Completo</v>
      </c>
      <c r="G12" s="0" t="str">
        <f aca="false">IFERROR(__xludf.dummyfunction("""COMPUTED_VALUE"""),"Sí")</f>
        <v>Sí</v>
      </c>
    </row>
    <row r="13" customFormat="false" ht="14.25" hidden="false" customHeight="false" outlineLevel="0" collapsed="false">
      <c r="A13" s="18" t="str">
        <f aca="false">IFERROR(MID(D13,1,FIND("|",D13)-1)&amp;"-"&amp;C13,"")</f>
        <v>AICI202205-4-1-1</v>
      </c>
      <c r="B13" s="19" t="n">
        <f aca="false">IFERROR(__xludf.dummyfunction("""COMPUTED_VALUE"""),44932)</f>
        <v>44932</v>
      </c>
      <c r="C13" s="0" t="n">
        <f aca="false">IFERROR(__xludf.dummyfunction("""COMPUTED_VALUE"""),1)</f>
        <v>1</v>
      </c>
      <c r="D13" s="0" t="str">
        <f aca="false">IFERROR(__xludf.dummyfunction("""COMPUTED_VALUE"""),"AICI202205-4-1| Coordinar mesa de trabajo con la Oficina de Desarrollo Institucional, para recibir línea técnica para la actualización… (18/08/2022 - 25/11/2022)")</f>
        <v>AICI202205-4-1| Coordinar mesa de trabajo con la Oficina de Desarrollo Institucional, para recibir línea técnica para la actualización… (18/08/2022 - 25/11/2022)</v>
      </c>
      <c r="E13" s="0" t="str">
        <f aca="false">IFERROR(__xludf.dummyfunction("""COMPUTED_VALUE"""),"Se evidencia la realización del taller de riesgos y capacitación,queda pendiente la actualización del mapa de riesgos del proceso ambulatorio")</f>
        <v>Se evidencia la realización del taller de riesgos y capacitación,queda pendiente la actualización del mapa de riesgos del proceso ambulatorio</v>
      </c>
      <c r="F13" s="0" t="str">
        <f aca="false">IFERROR(__xludf.dummyfunction("""COMPUTED_VALUE"""),"Atrasado")</f>
        <v>Atrasado</v>
      </c>
    </row>
    <row r="14" customFormat="false" ht="14.25" hidden="false" customHeight="false" outlineLevel="0" collapsed="false">
      <c r="A14" s="18" t="str">
        <f aca="false">IFERROR(MID(D14,1,FIND("|",D14)-1)&amp;"-"&amp;C14,"")</f>
        <v>AICI202205-5-1-1</v>
      </c>
      <c r="B14" s="19" t="n">
        <f aca="false">IFERROR(__xludf.dummyfunction("""COMPUTED_VALUE"""),44932)</f>
        <v>44932</v>
      </c>
      <c r="C14" s="0" t="n">
        <f aca="false">IFERROR(__xludf.dummyfunction("""COMPUTED_VALUE"""),1)</f>
        <v>1</v>
      </c>
      <c r="D14" s="0" t="str">
        <f aca="false">IFERROR(__xludf.dummyfunction("""COMPUTED_VALUE"""),"AICI202205-5-1| Solicitar a la Oficina de Participación Social y Atención al Usuario realizar la novedad a Oficina de desarrollo … (18/08/2022 - 01/10/2022)")</f>
        <v>AICI202205-5-1| Solicitar a la Oficina de Participación Social y Atención al Usuario realizar la novedad a Oficina de desarrollo … (18/08/2022 - 01/10/2022)</v>
      </c>
      <c r="E14" s="0" t="str">
        <f aca="false">IFERROR(__xludf.dummyfunction("""COMPUTED_VALUE"""),"Se anexa correo a la oficina de participaciónSocial,el mapa de riesgos no ha sido actualizado")</f>
        <v>Se anexa correo a la oficina de participaciónSocial,el mapa de riesgos no ha sido actualizado</v>
      </c>
      <c r="F14" s="0" t="str">
        <f aca="false">IFERROR(__xludf.dummyfunction("""COMPUTED_VALUE"""),"Atrasado")</f>
        <v>Atrasado</v>
      </c>
    </row>
    <row r="15" customFormat="false" ht="14.25" hidden="false" customHeight="false" outlineLevel="0" collapsed="false">
      <c r="A15" s="18" t="str">
        <f aca="false">IFERROR(MID(D15,1,FIND("|",D15)-1)&amp;"-"&amp;C15,"")</f>
        <v>AICI202205-6-1-1</v>
      </c>
      <c r="B15" s="19" t="n">
        <f aca="false">IFERROR(__xludf.dummyfunction("""COMPUTED_VALUE"""),44932)</f>
        <v>44932</v>
      </c>
      <c r="C15" s="0" t="n">
        <f aca="false">IFERROR(__xludf.dummyfunction("""COMPUTED_VALUE"""),1)</f>
        <v>1</v>
      </c>
      <c r="D15" s="0" t="str">
        <f aca="false">IFERROR(__xludf.dummyfunction("""COMPUTED_VALUE"""),"AICI202205-6-1| Radicación de requerimientos para contratación de perfiles especializados requeridos. (31/08/2022 - 31/12/2022)")</f>
        <v>AICI202205-6-1| Radicación de requerimientos para contratación de perfiles especializados requeridos. (31/08/2022 - 31/12/2022)</v>
      </c>
      <c r="E15" s="0" t="str">
        <f aca="false">IFERROR(__xludf.dummyfunction("""COMPUTED_VALUE"""),"Se anexan  los requerimientos de personal médico especializado y de los pendientes")</f>
        <v>Se anexan  los requerimientos de personal médico especializado y de los pendientes</v>
      </c>
      <c r="F15" s="0" t="str">
        <f aca="false">IFERROR(__xludf.dummyfunction("""COMPUTED_VALUE"""),"Completo")</f>
        <v>Completo</v>
      </c>
      <c r="G15" s="0" t="str">
        <f aca="false">IFERROR(__xludf.dummyfunction("""COMPUTED_VALUE"""),"Sí")</f>
        <v>Sí</v>
      </c>
    </row>
    <row r="16" customFormat="false" ht="14.25" hidden="false" customHeight="false" outlineLevel="0" collapsed="false">
      <c r="A16" s="18" t="str">
        <f aca="false">IFERROR(MID(D16,1,FIND("|",D16)-1)&amp;"-"&amp;C16,"")</f>
        <v>AICI202205-6-2-1</v>
      </c>
      <c r="B16" s="19" t="n">
        <f aca="false">IFERROR(__xludf.dummyfunction("""COMPUTED_VALUE"""),44932)</f>
        <v>44932</v>
      </c>
      <c r="C16" s="0" t="n">
        <f aca="false">IFERROR(__xludf.dummyfunction("""COMPUTED_VALUE"""),1)</f>
        <v>1</v>
      </c>
      <c r="D16" s="0" t="str">
        <f aca="false">IFERROR(__xludf.dummyfunction("""COMPUTED_VALUE"""),"AICI202205-6-2| Requerir a Subredes que cuenten con el servicio especializado que nos cubran nuestra oferta, para garantizar el… (31/08/2022 - 31/12/2022)")</f>
        <v>AICI202205-6-2| Requerir a Subredes que cuenten con el servicio especializado que nos cubran nuestra oferta, para garantizar el… (31/08/2022 - 31/12/2022)</v>
      </c>
      <c r="E16" s="0" t="str">
        <f aca="false">IFERROR(__xludf.dummyfunction("""COMPUTED_VALUE"""),"No existe evidencia paraesta acción")</f>
        <v>No existe evidencia paraesta acción</v>
      </c>
      <c r="F16" s="0" t="str">
        <f aca="false">IFERROR(__xludf.dummyfunction("""COMPUTED_VALUE"""),"Atrasado")</f>
        <v>Atrasado</v>
      </c>
    </row>
    <row r="17" customFormat="false" ht="14.25" hidden="false" customHeight="false" outlineLevel="0" collapsed="false">
      <c r="A17" s="18" t="str">
        <f aca="false">IFERROR(MID(D17,1,FIND("|",D17)-1)&amp;"-"&amp;C17,"")</f>
        <v>AICI202205-6-3-1</v>
      </c>
      <c r="B17" s="19" t="n">
        <f aca="false">IFERROR(__xludf.dummyfunction("""COMPUTED_VALUE"""),44932)</f>
        <v>44932</v>
      </c>
      <c r="C17" s="0" t="n">
        <f aca="false">IFERROR(__xludf.dummyfunction("""COMPUTED_VALUE"""),1)</f>
        <v>1</v>
      </c>
      <c r="D17" s="0" t="str">
        <f aca="false">IFERROR(__xludf.dummyfunction("""COMPUTED_VALUE"""),"AICI202205-6-3| Aumentar la contratación de médicos especialistas para mejorar la oferta (31/08/2022 - 31/12/2022)")</f>
        <v>AICI202205-6-3| Aumentar la contratación de médicos especialistas para mejorar la oferta (31/08/2022 - 31/12/2022)</v>
      </c>
      <c r="E17" s="0" t="str">
        <f aca="false">IFERROR(__xludf.dummyfunction("""COMPUTED_VALUE"""),"Se puede observar solicitud de personal especializado pero no ha sido posible contratación de médicos especializados")</f>
        <v>Se puede observar solicitud de personal especializado pero no ha sido posible contratación de médicos especializados</v>
      </c>
      <c r="F17" s="0" t="str">
        <f aca="false">IFERROR(__xludf.dummyfunction("""COMPUTED_VALUE"""),"Atrasado")</f>
        <v>Atrasado</v>
      </c>
    </row>
    <row r="18" customFormat="false" ht="14.25" hidden="false" customHeight="false" outlineLevel="0" collapsed="false">
      <c r="A18" s="18" t="str">
        <f aca="false">IFERROR(MID(D18,1,FIND("|",D18)-1)&amp;"-"&amp;C18,"")</f>
        <v>AICI202205-7-1-1</v>
      </c>
      <c r="B18" s="19" t="n">
        <f aca="false">IFERROR(__xludf.dummyfunction("""COMPUTED_VALUE"""),44932)</f>
        <v>44932</v>
      </c>
      <c r="C18" s="0" t="n">
        <f aca="false">IFERROR(__xludf.dummyfunction("""COMPUTED_VALUE"""),1)</f>
        <v>1</v>
      </c>
      <c r="D18" s="0" t="str">
        <f aca="false">IFERROR(__xludf.dummyfunction("""COMPUTED_VALUE"""),"AICI202205-7-1| Realizar mesa de trabajo con Oficina de Calidad y de Desarrollo Institucional para determinar la fuente de captura… (01/09/2022 - 01/10/2022)")</f>
        <v>AICI202205-7-1| Realizar mesa de trabajo con Oficina de Calidad y de Desarrollo Institucional para determinar la fuente de captura… (01/09/2022 - 01/10/2022)</v>
      </c>
      <c r="E18" s="0" t="str">
        <f aca="false">IFERROR(__xludf.dummyfunction("""COMPUTED_VALUE"""),"No hay soportes para esta acción de mejora")</f>
        <v>No hay soportes para esta acción de mejora</v>
      </c>
      <c r="F18" s="0" t="str">
        <f aca="false">IFERROR(__xludf.dummyfunction("""COMPUTED_VALUE"""),"Atrasado")</f>
        <v>Atrasado</v>
      </c>
    </row>
    <row r="19" customFormat="false" ht="14.25" hidden="false" customHeight="false" outlineLevel="0" collapsed="false">
      <c r="A19" s="18" t="str">
        <f aca="false">IFERROR(MID(D19,1,FIND("|",D19)-1)&amp;"-"&amp;C19,"")</f>
        <v>AICI202205-8-1-1</v>
      </c>
      <c r="B19" s="19" t="n">
        <f aca="false">IFERROR(__xludf.dummyfunction("""COMPUTED_VALUE"""),44932)</f>
        <v>44932</v>
      </c>
      <c r="C19" s="0" t="n">
        <f aca="false">IFERROR(__xludf.dummyfunction("""COMPUTED_VALUE"""),1)</f>
        <v>1</v>
      </c>
      <c r="D19" s="0" t="str">
        <f aca="false">IFERROR(__xludf.dummyfunction("""COMPUTED_VALUE"""),"AICI202205-8-1| Realizar envío mensual de la relación del personal de planta asistencial especializado, a quien le aplica el acuerdo… (15/09/2022 - 15/12/2022)")</f>
        <v>AICI202205-8-1| Realizar envío mensual de la relación del personal de planta asistencial especializado, a quien le aplica el acuerdo… (15/09/2022 - 15/12/2022)</v>
      </c>
      <c r="E19" s="0" t="str">
        <f aca="false">IFERROR(__xludf.dummyfunction("""COMPUTED_VALUE"""),"Se anexa propuesta firmada por el gerente de la Subred Norte al Subsecretario de Planeación Sectorial de la Secretaria de Salud ,para la modificación del estandar por hora de servicio,de algunas especialidades ,el día 30 de diciembre del 2022,donde se inc"&amp;"luye el acuerdo sindical,se anexa el listado del personal de planta,que viene laborando con el estandar de acuerdo sindical")</f>
        <v>Se anexa propuesta firmada por el gerente de la Subred Norte al Subsecretario de Planeación Sectorial de la Secretaria de Salud ,para la modificación del estandar por hora de servicio,de algunas especialidades ,el día 30 de diciembre del 2022,donde se incluye el acuerdo sindical,se anexa el listado del personal de planta,que viene laborando con el estandar de acuerdo sindical</v>
      </c>
      <c r="F19" s="0" t="str">
        <f aca="false">IFERROR(__xludf.dummyfunction("""COMPUTED_VALUE"""),"Completo")</f>
        <v>Completo</v>
      </c>
      <c r="G19" s="0" t="str">
        <f aca="false">IFERROR(__xludf.dummyfunction("""COMPUTED_VALUE"""),"Sí")</f>
        <v>Sí</v>
      </c>
    </row>
    <row r="20" customFormat="false" ht="14.25" hidden="false" customHeight="false" outlineLevel="0" collapsed="false">
      <c r="A20" s="18" t="str">
        <f aca="false">IFERROR(MID(D20,1,FIND("|",D20)-1)&amp;"-"&amp;C20,"")</f>
        <v>AICI202205-3-1-2</v>
      </c>
      <c r="B20" s="19" t="n">
        <f aca="false">IFERROR(__xludf.dummyfunction("""COMPUTED_VALUE"""),45020)</f>
        <v>45020</v>
      </c>
      <c r="C20" s="0" t="n">
        <f aca="false">IFERROR(__xludf.dummyfunction("""COMPUTED_VALUE"""),2)</f>
        <v>2</v>
      </c>
      <c r="D20" s="0" t="str">
        <f aca="false">IFERROR(__xludf.dummyfunction("""COMPUTED_VALUE"""),"AICI202205-3-1| Socializar a supervisores el manual de contratación y supervisión e interventoría institucional. (18/08/2022 - 18/11/2022)")</f>
        <v>AICI202205-3-1| Socializar a supervisores el manual de contratación y supervisión e interventoría institucional. (18/08/2022 - 18/11/2022)</v>
      </c>
      <c r="E20" s="0" t="str">
        <f aca="false">IFERROR(__xludf.dummyfunction("""COMPUTED_VALUE"""),"Continua pendiente la socialización por parte del área de Contratación del Manual de contratación,se había citado a reunión el día 30 de marzo pero fué cancelada.")</f>
        <v>Continua pendiente la socialización por parte del área de Contratación del Manual de contratación,se había citado a reunión el día 30 de marzo pero fué cancelada.</v>
      </c>
      <c r="F20" s="0" t="str">
        <f aca="false">IFERROR(__xludf.dummyfunction("""COMPUTED_VALUE"""),"Atrasado")</f>
        <v>Atrasado</v>
      </c>
    </row>
    <row r="21" customFormat="false" ht="14.25" hidden="false" customHeight="false" outlineLevel="0" collapsed="false">
      <c r="A21" s="18" t="str">
        <f aca="false">IFERROR(MID(D21,1,FIND("|",D21)-1)&amp;"-"&amp;C21,"")</f>
        <v>AICI202205-7-1-2</v>
      </c>
      <c r="B21" s="19" t="n">
        <f aca="false">IFERROR(__xludf.dummyfunction("""COMPUTED_VALUE"""),45020)</f>
        <v>45020</v>
      </c>
      <c r="C21" s="0" t="n">
        <f aca="false">IFERROR(__xludf.dummyfunction("""COMPUTED_VALUE"""),2)</f>
        <v>2</v>
      </c>
      <c r="D21" s="0" t="str">
        <f aca="false">IFERROR(__xludf.dummyfunction("""COMPUTED_VALUE"""),"AICI202205-7-1| Realizar mesa de trabajo con Oficina de Calidad y de Desarrollo Institucional para determinar la fuente de captura… (01/09/2022 - 01/10/2022)")</f>
        <v>AICI202205-7-1| Realizar mesa de trabajo con Oficina de Calidad y de Desarrollo Institucional para determinar la fuente de captura… (01/09/2022 - 01/10/2022)</v>
      </c>
      <c r="E21" s="0" t="str">
        <f aca="false">IFERROR(__xludf.dummyfunction("""COMPUTED_VALUE"""),"Se realizó mesa de trabajo con las áreas de Calidad,Gestión de la información ,Desarrollo Institucional y Ambulatorios,se evidencia correcciones realizadas,según lo acordado en la reunión y se verifican y corrigen los datos.")</f>
        <v>Se realizó mesa de trabajo con las áreas de Calidad,Gestión de la información ,Desarrollo Institucional y Ambulatorios,se evidencia correcciones realizadas,según lo acordado en la reunión y se verifican y corrigen los datos.</v>
      </c>
      <c r="F21" s="0" t="str">
        <f aca="false">IFERROR(__xludf.dummyfunction("""COMPUTED_VALUE"""),"Completo")</f>
        <v>Completo</v>
      </c>
      <c r="G21" s="0" t="str">
        <f aca="false">IFERROR(__xludf.dummyfunction("""COMPUTED_VALUE"""),"Sí")</f>
        <v>Sí</v>
      </c>
    </row>
    <row r="22" customFormat="false" ht="14.25" hidden="false" customHeight="false" outlineLevel="0" collapsed="false">
      <c r="A22" s="18" t="str">
        <f aca="false">IFERROR(MID(D22,1,FIND("|",D22)-1)&amp;"-"&amp;C22,"")</f>
        <v>AICI202205-4-1-2</v>
      </c>
      <c r="B22" s="19" t="n">
        <f aca="false">IFERROR(__xludf.dummyfunction("""COMPUTED_VALUE"""),45020)</f>
        <v>45020</v>
      </c>
      <c r="C22" s="0" t="n">
        <f aca="false">IFERROR(__xludf.dummyfunction("""COMPUTED_VALUE"""),2)</f>
        <v>2</v>
      </c>
      <c r="D22" s="0" t="str">
        <f aca="false">IFERROR(__xludf.dummyfunction("""COMPUTED_VALUE"""),"AICI202205-4-1| Coordinar mesa de trabajo con la Oficina de Desarrollo Institucional, para recibir línea técnica para la actualización… (18/08/2022 - 25/11/2022)")</f>
        <v>AICI202205-4-1| Coordinar mesa de trabajo con la Oficina de Desarrollo Institucional, para recibir línea técnica para la actualización… (18/08/2022 - 25/11/2022)</v>
      </c>
      <c r="E22" s="0" t="str">
        <f aca="false">IFERROR(__xludf.dummyfunction("""COMPUTED_VALUE"""),"Se realizó mesa tecnica con Desarrollo Institucional,se observa en la pagina web y en la herramienta Almera el nuevo mapa de riesgos 2023. ")</f>
        <v>Se realizó mesa tecnica con Desarrollo Institucional,se observa en la pagina web y en la herramienta Almera el nuevo mapa de riesgos 2023. </v>
      </c>
      <c r="F22" s="0" t="str">
        <f aca="false">IFERROR(__xludf.dummyfunction("""COMPUTED_VALUE"""),"Completo")</f>
        <v>Completo</v>
      </c>
      <c r="G22" s="0" t="str">
        <f aca="false">IFERROR(__xludf.dummyfunction("""COMPUTED_VALUE"""),"Sí")</f>
        <v>Sí</v>
      </c>
    </row>
    <row r="23" customFormat="false" ht="14.25" hidden="false" customHeight="false" outlineLevel="0" collapsed="false">
      <c r="A23" s="18" t="str">
        <f aca="false">IFERROR(MID(D23,1,FIND("|",D23)-1)&amp;"-"&amp;C23,"")</f>
        <v>AICI202205-5-1-2</v>
      </c>
      <c r="B23" s="19" t="n">
        <f aca="false">IFERROR(__xludf.dummyfunction("""COMPUTED_VALUE"""),45020)</f>
        <v>45020</v>
      </c>
      <c r="C23" s="0" t="n">
        <f aca="false">IFERROR(__xludf.dummyfunction("""COMPUTED_VALUE"""),2)</f>
        <v>2</v>
      </c>
      <c r="D23" s="0" t="str">
        <f aca="false">IFERROR(__xludf.dummyfunction("""COMPUTED_VALUE"""),"AICI202205-5-1| Solicitar a la Oficina de Participación Social y Atención al Usuario realizar la novedad a Oficina de desarrollo … (18/08/2022 - 01/10/2022)")</f>
        <v>AICI202205-5-1| Solicitar a la Oficina de Participación Social y Atención al Usuario realizar la novedad a Oficina de desarrollo … (18/08/2022 - 01/10/2022)</v>
      </c>
      <c r="E23" s="0" t="str">
        <f aca="false">IFERROR(__xludf.dummyfunction("""COMPUTED_VALUE"""),"El mapa de riesgos del 2023,cambió y no contempla ese riesgo,ni ese control  por lo tanto se cierra la cción")</f>
        <v>El mapa de riesgos del 2023,cambió y no contempla ese riesgo,ni ese control  por lo tanto se cierra la cción</v>
      </c>
      <c r="F23" s="0" t="str">
        <f aca="false">IFERROR(__xludf.dummyfunction("""COMPUTED_VALUE"""),"Completo")</f>
        <v>Completo</v>
      </c>
      <c r="G23" s="0" t="str">
        <f aca="false">IFERROR(__xludf.dummyfunction("""COMPUTED_VALUE"""),"Sí")</f>
        <v>Sí</v>
      </c>
    </row>
    <row r="24" customFormat="false" ht="14.25" hidden="false" customHeight="false" outlineLevel="0" collapsed="false">
      <c r="A24" s="18" t="str">
        <f aca="false">IFERROR(MID(D24,1,FIND("|",D24)-1)&amp;"-"&amp;C24,"")</f>
        <v>AICI202205-6-2-2</v>
      </c>
      <c r="B24" s="19" t="n">
        <f aca="false">IFERROR(__xludf.dummyfunction("""COMPUTED_VALUE"""),45020)</f>
        <v>45020</v>
      </c>
      <c r="C24" s="0" t="n">
        <f aca="false">IFERROR(__xludf.dummyfunction("""COMPUTED_VALUE"""),2)</f>
        <v>2</v>
      </c>
      <c r="D24" s="0" t="str">
        <f aca="false">IFERROR(__xludf.dummyfunction("""COMPUTED_VALUE"""),"AICI202205-6-2| Requerir a Subredes que cuenten con el servicio especializado que nos cubran nuestra oferta, para garantizar el… (31/08/2022 - 31/12/2022)")</f>
        <v>AICI202205-6-2| Requerir a Subredes que cuenten con el servicio especializado que nos cubran nuestra oferta, para garantizar el… (31/08/2022 - 31/12/2022)</v>
      </c>
      <c r="E24" s="0" t="str">
        <f aca="false">IFERROR(__xludf.dummyfunction("""COMPUTED_VALUE"""),"No se ha podido solucionar la consecución de personal especializado de mastología y ortopedia infantil,con otras subredes,se observa correo enviado a la Subred Sur.,se cierra la acción por falta de recurso humano para estas especialidades en todas las sub"&amp;"redes")</f>
        <v>No se ha podido solucionar la consecución de personal especializado de mastología y ortopedia infantil,con otras subredes,se observa correo enviado a la Subred Sur.,se cierra la acción por falta de recurso humano para estas especialidades en todas las subredes</v>
      </c>
      <c r="F24" s="0" t="str">
        <f aca="false">IFERROR(__xludf.dummyfunction("""COMPUTED_VALUE"""),"Completo")</f>
        <v>Completo</v>
      </c>
      <c r="G24" s="0" t="str">
        <f aca="false">IFERROR(__xludf.dummyfunction("""COMPUTED_VALUE"""),"No")</f>
        <v>No</v>
      </c>
    </row>
    <row r="25" customFormat="false" ht="14.25" hidden="false" customHeight="false" outlineLevel="0" collapsed="false">
      <c r="A25" s="18" t="str">
        <f aca="false">IFERROR(MID(D25,1,FIND("|",D25)-1)&amp;"-"&amp;C25,"")</f>
        <v>AICI202205-6-3-2</v>
      </c>
      <c r="B25" s="19" t="n">
        <f aca="false">IFERROR(__xludf.dummyfunction("""COMPUTED_VALUE"""),45020)</f>
        <v>45020</v>
      </c>
      <c r="C25" s="0" t="n">
        <f aca="false">IFERROR(__xludf.dummyfunction("""COMPUTED_VALUE"""),2)</f>
        <v>2</v>
      </c>
      <c r="D25" s="0" t="str">
        <f aca="false">IFERROR(__xludf.dummyfunction("""COMPUTED_VALUE"""),"AICI202205-6-3| Aumentar la contratación de médicos especialistas para mejorar la oferta (31/08/2022 - 31/12/2022)")</f>
        <v>AICI202205-6-3| Aumentar la contratación de médicos especialistas para mejorar la oferta (31/08/2022 - 31/12/2022)</v>
      </c>
      <c r="E25" s="0" t="str">
        <f aca="false">IFERROR(__xludf.dummyfunction("""COMPUTED_VALUE"""),"
Se evidencia contratación de algunos médicos especialistas  para cubrir la demanda de la Subred norte,no obstante,no fué posible cubrir la atención en neurología pediátrica y oftalmología pediátrica por lo que se devuelven a Capital Salud EPS Subsidiado,"&amp;"109 pacientes de neurología y 88 de oftalmología con el fin de ser reubicados para su atención en otra institución,se evidencia radicado 2023210002825 con fecha 10 de febrero de 2023.")</f>
        <v>
Se evidencia contratación de algunos médicos especialistas  para cubrir la demanda de la Subred norte,no obstante,no fué posible cubrir la atención en neurología pediátrica y oftalmología pediátrica por lo que se devuelven a Capital Salud EPS Subsidiado,109 pacientes de neurología y 88 de oftalmología con el fin de ser reubicados para su atención en otra institución,se evidencia radicado 2023210002825 con fecha 10 de febrero de 2023.</v>
      </c>
      <c r="F25" s="0" t="str">
        <f aca="false">IFERROR(__xludf.dummyfunction("""COMPUTED_VALUE"""),"Completo")</f>
        <v>Completo</v>
      </c>
      <c r="G25" s="0" t="str">
        <f aca="false">IFERROR(__xludf.dummyfunction("""COMPUTED_VALUE"""),"No")</f>
        <v>No</v>
      </c>
    </row>
    <row r="26" customFormat="false" ht="14.25" hidden="false" customHeight="false" outlineLevel="0" collapsed="false">
      <c r="A26" s="18" t="str">
        <f aca="false">IFERROR(MID(D26,1,FIND("|",D26)-1)&amp;"-"&amp;C26,"")</f>
        <v>AICI202205-3-1-3</v>
      </c>
      <c r="B26" s="19" t="n">
        <f aca="false">IFERROR(__xludf.dummyfunction("""COMPUTED_VALUE"""),45111)</f>
        <v>45111</v>
      </c>
      <c r="C26" s="0" t="n">
        <f aca="false">IFERROR(__xludf.dummyfunction("""COMPUTED_VALUE"""),3)</f>
        <v>3</v>
      </c>
      <c r="D26" s="0" t="str">
        <f aca="false">IFERROR(__xludf.dummyfunction("""COMPUTED_VALUE"""),"AICI202205-3-1| Socializar a supervisores el manual de contratación y supervisión e interventoría institucional. (18/08/2022 - 18/11/2022)")</f>
        <v>AICI202205-3-1| Socializar a supervisores el manual de contratación y supervisión e interventoría institucional. (18/08/2022 - 18/11/2022)</v>
      </c>
      <c r="E26" s="0" t="str">
        <f aca="false">IFERROR(__xludf.dummyfunction("""COMPUTED_VALUE"""),"Se anexa listado de asistencia a capacitación del manual de supervisión del día 25 de abril y la presentación realizada a supervisores contractuales y apoyos administrativo,dando cumplimiento a la acción de mejora")</f>
        <v>Se anexa listado de asistencia a capacitación del manual de supervisión del día 25 de abril y la presentación realizada a supervisores contractuales y apoyos administrativo,dando cumplimiento a la acción de mejora</v>
      </c>
      <c r="F26" s="0" t="str">
        <f aca="false">IFERROR(__xludf.dummyfunction("""COMPUTED_VALUE"""),"Completo")</f>
        <v>Completo</v>
      </c>
      <c r="G26" s="0" t="str">
        <f aca="false">IFERROR(__xludf.dummyfunction("""COMPUTED_VALUE"""),"Sí")</f>
        <v>Sí</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1797</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AICI202204-3-1-1</v>
      </c>
      <c r="B4" s="19" t="n">
        <f aca="false">IFERROR(__xludf.dummyfunction("""COMPUTED_VALUE"""),45033)</f>
        <v>45033</v>
      </c>
      <c r="C4" s="0" t="n">
        <f aca="false">IFERROR(__xludf.dummyfunction("""COMPUTED_VALUE"""),1)</f>
        <v>1</v>
      </c>
      <c r="D4" s="0" t="str">
        <f aca="false">IFERROR(__xludf.dummyfunction("""COMPUTED_VALUE"""),"AICI202204-3-1| Realizar verificación del cumplimiento de las obligaciones del contratista corredor de seguros mediante formato de certificación. (01/09/2022 - 28/02/2023)")</f>
        <v>AICI202204-3-1| Realizar verificación del cumplimiento de las obligaciones del contratista corredor de seguros mediante formato de certificación. (01/09/2022 - 28/02/2023)</v>
      </c>
      <c r="E4" s="0" t="str">
        <f aca="false">IFERROR(__xludf.dummyfunction("""COMPUTED_VALUE"""),"Se realiza seguimiento con el corredor de seguros por medio de diferentes reuniones donde se realiza una revisión de los procesos actuales y capacitación del programa de seguros. Se termina el contrato con el corredor de seguros y  aparir del 13 de marzo "&amp;"de 2023 se realiza cambio de corredor con Pizano Echeverri y Asociados LTDA. ")</f>
        <v>Se realiza seguimiento con el corredor de seguros por medio de diferentes reuniones donde se realiza una revisión de los procesos actuales y capacitación del programa de seguros. Se termina el contrato con el corredor de seguros y  aparir del 13 de marzo de 2023 se realiza cambio de corredor con Pizano Echeverri y Asociados LTDA. </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AICI202204-1-1-2</v>
      </c>
      <c r="B5" s="19" t="n">
        <f aca="false">IFERROR(__xludf.dummyfunction("""COMPUTED_VALUE"""),45114)</f>
        <v>45114</v>
      </c>
      <c r="C5" s="0" t="n">
        <f aca="false">IFERROR(__xludf.dummyfunction("""COMPUTED_VALUE"""),2)</f>
        <v>2</v>
      </c>
      <c r="D5" s="0" t="str">
        <f aca="false">IFERROR(__xludf.dummyfunction("""COMPUTED_VALUE"""),"AICI202204-1-1| Solicitar capacitación para la construcción de riesgos para el proceso de seguros (01/09/2022 - 30/06/2023)")</f>
        <v>AICI202204-1-1| Solicitar capacitación para la construcción de riesgos para el proceso de seguros (01/09/2022 - 30/06/2023)</v>
      </c>
      <c r="E5" s="0" t="str">
        <f aca="false">IFERROR(__xludf.dummyfunction("""COMPUTED_VALUE"""),"verificada la acción definida en el Plan de mejoramiento, se evidencia su cumplimiento por parte del área encargada de los Seguros, se observan los soportes de cumplimiento , como son acta de  17/05/2022, con la empresa Estrategia de Seguros, donde se tra"&amp;"taron temas  sobre siniestros,  informes, revisión de Matriz y semaforización.
de igual manera se observa soporte de  la Solicitud de capacitación , capacitación en temas de  responsabilidad civil extracontractual, responsabilidad civil de servidores públ"&amp;"icos y responsabilidad civil clínicas y hospitales,  de fecha 13/12/2022.")</f>
        <v>verificada la acción definida en el Plan de mejoramiento, se evidencia su cumplimiento por parte del área encargada de los Seguros, se observan los soportes de cumplimiento , como son acta de  17/05/2022, con la empresa Estrategia de Seguros, donde se trataron temas  sobre siniestros,  informes, revisión de Matriz y semaforización.
de igual manera se observa soporte de  la Solicitud de capacitación , capacitación en temas de  responsabilidad civil extracontractual, responsabilidad civil de servidores públicos y responsabilidad civil clínicas y hospitales,  de fecha 13/12/2022.</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
      </c>
    </row>
    <row r="7" customFormat="false" ht="14.25" hidden="false" customHeight="false" outlineLevel="0" collapsed="false">
      <c r="A7" s="18" t="str">
        <f aca="false">IFERROR(MID(D7,1,FIND("|",D7)-1)&amp;"-"&amp;C7,"")</f>
        <v/>
      </c>
    </row>
    <row r="8" customFormat="false" ht="14.25" hidden="false" customHeight="false" outlineLevel="0" collapsed="false">
      <c r="A8" s="18" t="str">
        <f aca="false">IFERROR(MID(D8,1,FIND("|",D8)-1)&amp;"-"&amp;C8,"")</f>
        <v/>
      </c>
    </row>
    <row r="9" customFormat="false" ht="14.25" hidden="false" customHeight="false" outlineLevel="0" collapsed="false">
      <c r="A9" s="18" t="str">
        <f aca="false">IFERROR(MID(D9,1,FIND("|",D9)-1)&amp;"-"&amp;C9,"")</f>
        <v/>
      </c>
    </row>
    <row r="10" customFormat="false" ht="14.25" hidden="false" customHeight="false" outlineLevel="0" collapsed="false">
      <c r="A10" s="18" t="str">
        <f aca="false">IFERROR(MID(D10,1,FIND("|",D10)-1)&amp;"-"&amp;C10,"")</f>
        <v/>
      </c>
    </row>
    <row r="11" customFormat="false" ht="14.25" hidden="false" customHeight="false" outlineLevel="0" collapsed="false">
      <c r="A11" s="18" t="str">
        <f aca="false">IFERROR(MID(D11,1,FIND("|",D11)-1)&amp;"-"&amp;C11,"")</f>
        <v/>
      </c>
    </row>
    <row r="12" customFormat="false" ht="14.25" hidden="false" customHeight="false" outlineLevel="0" collapsed="false">
      <c r="A12" s="18" t="str">
        <f aca="false">IFERROR(MID(D12,1,FIND("|",D12)-1)&amp;"-"&amp;C12,"")</f>
        <v/>
      </c>
    </row>
    <row r="13" customFormat="false" ht="14.25" hidden="false" customHeight="false" outlineLevel="0" collapsed="false">
      <c r="A13" s="18" t="str">
        <f aca="false">IFERROR(MID(D13,1,FIND("|",D13)-1)&amp;"-"&amp;C13,"")</f>
        <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18.29"/>
  </cols>
  <sheetData>
    <row r="1" customFormat="false" ht="12.75" hidden="false" customHeight="false" outlineLevel="0" collapsed="false">
      <c r="A1" s="13" t="s">
        <v>1798</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AICI202203-1-1-1</v>
      </c>
      <c r="B4" s="19" t="n">
        <f aca="false">IFERROR(__xludf.dummyfunction("""COMPUTED_VALUE"""),44928)</f>
        <v>44928</v>
      </c>
      <c r="C4" s="0" t="n">
        <f aca="false">IFERROR(__xludf.dummyfunction("""COMPUTED_VALUE"""),1)</f>
        <v>1</v>
      </c>
      <c r="D4" s="0" t="str">
        <f aca="false">IFERROR(__xludf.dummyfunction("""COMPUTED_VALUE"""),"AICI202203-1-1| Socializar a los supervisores de contrato la obligatoriedad de dar publicidad a los informes de supervisión y demás soportes ...  (01/may/2022 - 31/oct/2022)")</f>
        <v>AICI202203-1-1| Socializar a los supervisores de contrato la obligatoriedad de dar publicidad a los informes de supervisión y demás soportes ...  (01/may/2022 - 31/oct/2022)</v>
      </c>
      <c r="E4" s="0" t="str">
        <f aca="false">IFERROR(__xludf.dummyfunction("""COMPUTED_VALUE"""),"Se observa evidencia que por parte de la Dirección de Contratación se llevó a cabo capacitación dirigida a supervisores contractuales, para efectos de precisar la obligatoriedad de la publicación de todos los documentos que se producen en el marco de la e"&amp;"jecución contractual. se tiene soporte de las actas de asistencia. soportes publicación de instructivos  y paso a paso de cargue de facturas  con ls que se considera completada la acción")</f>
        <v>Se observa evidencia que por parte de la Dirección de Contratación se llevó a cabo capacitación dirigida a supervisores contractuales, para efectos de precisar la obligatoriedad de la publicación de todos los documentos que se producen en el marco de la ejecución contractual. se tiene soporte de las actas de asistencia. soportes publicación de instructivos  y paso a paso de cargue de facturas  con ls que se considera completada la acción</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AICI202203-2-1-1</v>
      </c>
      <c r="B5" s="19" t="n">
        <f aca="false">IFERROR(__xludf.dummyfunction("""COMPUTED_VALUE"""),44928)</f>
        <v>44928</v>
      </c>
      <c r="C5" s="0" t="n">
        <f aca="false">IFERROR(__xludf.dummyfunction("""COMPUTED_VALUE"""),1)</f>
        <v>1</v>
      </c>
      <c r="D5" s="0" t="str">
        <f aca="false">IFERROR(__xludf.dummyfunction("""COMPUTED_VALUE"""),"AICI202203-2-1| Retroalimentar al personal nuevo de archivo de la dirección de contratación con el fin de socializar los lineamientos establecidos ... (01/may/2022 - 31/oct/2022)")</f>
        <v>AICI202203-2-1| Retroalimentar al personal nuevo de archivo de la dirección de contratación con el fin de socializar los lineamientos establecidos ... (01/may/2022 - 31/oct/2022)</v>
      </c>
      <c r="E5" s="0" t="str">
        <f aca="false">IFERROR(__xludf.dummyfunction("""COMPUTED_VALUE"""),"se observa que al personal antiguo del área de archivo de la Subred se llevó a cabo capacitación el 28/10/2022. Adicionalmente se tiene soporte de la presentación de Conceptos Básicos para la organización de archivos")</f>
        <v>se observa que al personal antiguo del área de archivo de la Subred se llevó a cabo capacitación el 28/10/2022. Adicionalmente se tiene soporte de la presentación de Conceptos Básicos para la organización de archivos</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
      </c>
    </row>
    <row r="7" customFormat="false" ht="14.25" hidden="false" customHeight="false" outlineLevel="0" collapsed="false">
      <c r="A7" s="18" t="str">
        <f aca="false">IFERROR(MID(D7,1,FIND("|",D7)-1)&amp;"-"&amp;C7,"")</f>
        <v/>
      </c>
    </row>
    <row r="8" customFormat="false" ht="14.25" hidden="false" customHeight="false" outlineLevel="0" collapsed="false">
      <c r="A8" s="18" t="str">
        <f aca="false">IFERROR(MID(D8,1,FIND("|",D8)-1)&amp;"-"&amp;C8,"")</f>
        <v/>
      </c>
    </row>
    <row r="9" customFormat="false" ht="14.25" hidden="false" customHeight="false" outlineLevel="0" collapsed="false">
      <c r="A9" s="18" t="str">
        <f aca="false">IFERROR(MID(D9,1,FIND("|",D9)-1)&amp;"-"&amp;C9,"")</f>
        <v/>
      </c>
    </row>
    <row r="10" customFormat="false" ht="14.25" hidden="false" customHeight="false" outlineLevel="0" collapsed="false">
      <c r="A10" s="18" t="str">
        <f aca="false">IFERROR(MID(D10,1,FIND("|",D10)-1)&amp;"-"&amp;C10,"")</f>
        <v/>
      </c>
    </row>
    <row r="11" customFormat="false" ht="14.25" hidden="false" customHeight="false" outlineLevel="0" collapsed="false">
      <c r="A11" s="18" t="str">
        <f aca="false">IFERROR(MID(D11,1,FIND("|",D11)-1)&amp;"-"&amp;C11,"")</f>
        <v/>
      </c>
    </row>
    <row r="12" customFormat="false" ht="14.25" hidden="false" customHeight="false" outlineLevel="0" collapsed="false">
      <c r="A12" s="18" t="str">
        <f aca="false">IFERROR(MID(D12,1,FIND("|",D12)-1)&amp;"-"&amp;C12,"")</f>
        <v/>
      </c>
    </row>
    <row r="13" customFormat="false" ht="14.25" hidden="false" customHeight="false" outlineLevel="0" collapsed="false">
      <c r="A13" s="18" t="str">
        <f aca="false">IFERROR(MID(D13,1,FIND("|",D13)-1)&amp;"-"&amp;C13,"")</f>
        <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1799</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AICI202202-1-1-1</v>
      </c>
      <c r="B4" s="19" t="n">
        <f aca="false">IFERROR(__xludf.dummyfunction("""COMPUTED_VALUE"""),44748)</f>
        <v>44748</v>
      </c>
      <c r="C4" s="0" t="n">
        <f aca="false">IFERROR(__xludf.dummyfunction("""COMPUTED_VALUE"""),1)</f>
        <v>1</v>
      </c>
      <c r="D4" s="0" t="str">
        <f aca="false">IFERROR(__xludf.dummyfunction("""COMPUTED_VALUE"""),"AICI202202-1-1| Elaborar el cronograma de reuniones para dar cumplimiento a las sesiones establecidas. (01/abr/2022 - 30/jun/2022)")</f>
        <v>AICI202202-1-1| Elaborar el cronograma de reuniones para dar cumplimiento a las sesiones establecidas. (01/abr/2022 - 30/jun/2022)</v>
      </c>
      <c r="E4" s="0" t="str">
        <f aca="false">IFERROR(__xludf.dummyfunction("""COMPUTED_VALUE"""),"Se adjunta cronograma con reuniones realizadas y programadas para el año 2022, este cronograma se encuentra firmado por el oficial de cumplimiento encargado como por la profesional análisis SARLAFT")</f>
        <v>Se adjunta cronograma con reuniones realizadas y programadas para el año 2022, este cronograma se encuentra firmado por el oficial de cumplimiento encargado como por la profesional análisis SARLAFT</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AICI202202-3-1-1</v>
      </c>
      <c r="B5" s="19" t="n">
        <f aca="false">IFERROR(__xludf.dummyfunction("""COMPUTED_VALUE"""),44748)</f>
        <v>44748</v>
      </c>
      <c r="C5" s="0" t="n">
        <f aca="false">IFERROR(__xludf.dummyfunction("""COMPUTED_VALUE"""),1)</f>
        <v>1</v>
      </c>
      <c r="D5" s="0" t="str">
        <f aca="false">IFERROR(__xludf.dummyfunction("""COMPUTED_VALUE"""),"AICI202202-3-1| Articular con la Dirección financiera para la aplicación del formato a los clientes particulares al momento de presentarse una ... (01/abr/2022 - 30/jun/2022)")</f>
        <v>AICI202202-3-1| Articular con la Dirección financiera para la aplicación del formato a los clientes particulares al momento de presentarse una ... (01/abr/2022 - 30/jun/2022)</v>
      </c>
      <c r="E5" s="0" t="str">
        <f aca="false">IFERROR(__xludf.dummyfunction("""COMPUTED_VALUE"""),"En coordinación con el área de Tesorería se estableció que en el evento en que se presenten reportes positivos en las diferentes transacciones de la Entidad. Se efectuará:
1.El respectivo diligenciamiento del reporte
2.Comunicación inmediata con el área d"&amp;"e SARLAFT, con el fin de efectuar la consulta en las listas vinculantes o de control, a través de la herramienta.
*Se adjunta Acta de reunión.")</f>
        <v>En coordinación con el área de Tesorería se estableció que en el evento en que se presenten reportes positivos en las diferentes transacciones de la Entidad. Se efectuará:
1.El respectivo diligenciamiento del reporte
2.Comunicación inmediata con el área de SARLAFT, con el fin de efectuar la consulta en las listas vinculantes o de control, a través de la herramienta.
*Se adjunta Acta de reunión.</v>
      </c>
      <c r="F5" s="0" t="str">
        <f aca="false">IFERROR(__xludf.dummyfunction("""COMPUTED_VALUE"""),"Completo")</f>
        <v>Completo</v>
      </c>
      <c r="G5" s="0" t="str">
        <f aca="false">IFERROR(__xludf.dummyfunction("""COMPUTED_VALUE"""),"No")</f>
        <v>No</v>
      </c>
    </row>
    <row r="6" customFormat="false" ht="14.25" hidden="false" customHeight="false" outlineLevel="0" collapsed="false">
      <c r="A6" s="18" t="str">
        <f aca="false">IFERROR(MID(D6,1,FIND("|",D6)-1)&amp;"-"&amp;C6,"")</f>
        <v>AICI202202-4-1-1</v>
      </c>
      <c r="B6" s="19" t="n">
        <f aca="false">IFERROR(__xludf.dummyfunction("""COMPUTED_VALUE"""),44748)</f>
        <v>44748</v>
      </c>
      <c r="C6" s="0" t="n">
        <f aca="false">IFERROR(__xludf.dummyfunction("""COMPUTED_VALUE"""),1)</f>
        <v>1</v>
      </c>
      <c r="D6" s="0" t="str">
        <f aca="false">IFERROR(__xludf.dummyfunction("""COMPUTED_VALUE"""),"AICI202202-4-1| Actualizar el Manual SARLAFT, con las modificaciones exigidas por la normatividad vigente (01/abr/2022 - 30/jun/2022)")</f>
        <v>AICI202202-4-1| Actualizar el Manual SARLAFT, con las modificaciones exigidas por la normatividad vigente (01/abr/2022 - 30/jun/2022)</v>
      </c>
      <c r="E6" s="0" t="str">
        <f aca="false">IFERROR(__xludf.dummyfunction("""COMPUTED_VALUE"""),"Desde el mes de marzo de 2022, el área de SARLAFT, ha llevado a cabo la documentación teórica del proceso para el ajuste del Manual e implementación de la Circular 005-5 que modifica la Circular 009 de 2016. 
El día 29 de junio en Comité de Riesgos se pre"&amp;"sento el cronograma de ejecución de actividades tendientes a la actualización del Manual a la luz de la norma antes mencionada.
Se anexa acta de Reunión con la oficina de desarrollo institucional en donde se menciona que la actualización del manual se enc"&amp;"uentra en una primera fase y que en el mes de agosto 2022 se llevara a la junta directiva la presentación de la actualización del manual.")</f>
        <v>Desde el mes de marzo de 2022, el área de SARLAFT, ha llevado a cabo la documentación teórica del proceso para el ajuste del Manual e implementación de la Circular 005-5 que modifica la Circular 009 de 2016. 
El día 29 de junio en Comité de Riesgos se presento el cronograma de ejecución de actividades tendientes a la actualización del Manual a la luz de la norma antes mencionada.
Se anexa acta de Reunión con la oficina de desarrollo institucional en donde se menciona que la actualización del manual se encuentra en una primera fase y que en el mes de agosto 2022 se llevara a la junta directiva la presentación de la actualización del manual.</v>
      </c>
      <c r="F6" s="0" t="str">
        <f aca="false">IFERROR(__xludf.dummyfunction("""COMPUTED_VALUE"""),"Atrasado")</f>
        <v>Atrasado</v>
      </c>
    </row>
    <row r="7" customFormat="false" ht="14.25" hidden="false" customHeight="false" outlineLevel="0" collapsed="false">
      <c r="A7" s="18" t="str">
        <f aca="false">IFERROR(MID(D7,1,FIND("|",D7)-1)&amp;"-"&amp;C7,"")</f>
        <v>AICI202202-5-1-1</v>
      </c>
      <c r="B7" s="19" t="n">
        <f aca="false">IFERROR(__xludf.dummyfunction("""COMPUTED_VALUE"""),44748)</f>
        <v>44748</v>
      </c>
      <c r="C7" s="0" t="n">
        <f aca="false">IFERROR(__xludf.dummyfunction("""COMPUTED_VALUE"""),1)</f>
        <v>1</v>
      </c>
      <c r="D7" s="0" t="str">
        <f aca="false">IFERROR(__xludf.dummyfunction("""COMPUTED_VALUE"""),"AICI202202-5-1| Articular con la Oficina de Desarrollo institucional para actualizar los controles que se encuentran en la matriz del mapa de riesgos (01/abr/2022 - 30/jun/2022)")</f>
        <v>AICI202202-5-1| Articular con la Oficina de Desarrollo institucional para actualizar los controles que se encuentran en la matriz del mapa de riesgos (01/abr/2022 - 30/jun/2022)</v>
      </c>
      <c r="E7" s="0" t="str">
        <f aca="false">IFERROR(__xludf.dummyfunction("""COMPUTED_VALUE"""),"Se llevo a cabo reunión con el área de desarrollo institucional, en el cual se estableció mediante acta el compromiso de la revisión de la matriz de riesgos para el mes de julio 2022, en coordinación con el área de SARLAFT.
* Se adjunta acta de reunión.")</f>
        <v>Se llevo a cabo reunión con el área de desarrollo institucional, en el cual se estableció mediante acta el compromiso de la revisión de la matriz de riesgos para el mes de julio 2022, en coordinación con el área de SARLAFT.
* Se adjunta acta de reunión.</v>
      </c>
      <c r="F7" s="0" t="str">
        <f aca="false">IFERROR(__xludf.dummyfunction("""COMPUTED_VALUE"""),"Atrasado")</f>
        <v>Atrasado</v>
      </c>
    </row>
    <row r="8" customFormat="false" ht="14.25" hidden="false" customHeight="false" outlineLevel="0" collapsed="false">
      <c r="A8" s="18" t="str">
        <f aca="false">IFERROR(MID(D8,1,FIND("|",D8)-1)&amp;"-"&amp;C8,"")</f>
        <v>AICI202202-2-1-1</v>
      </c>
      <c r="B8" s="19" t="n">
        <f aca="false">IFERROR(__xludf.dummyfunction("""COMPUTED_VALUE"""),44748)</f>
        <v>44748</v>
      </c>
      <c r="C8" s="0" t="n">
        <f aca="false">IFERROR(__xludf.dummyfunction("""COMPUTED_VALUE"""),1)</f>
        <v>1</v>
      </c>
      <c r="D8" s="0" t="str">
        <f aca="false">IFERROR(__xludf.dummyfunction("""COMPUTED_VALUE"""),"AICI202202-2-1| Articular con la Dirección de Contratación para inlcuir en la solicitud del RUB (registro único de beneficiarios) en los estudios ... (01/abr/2022 - 30/sept/2022)")</f>
        <v>AICI202202-2-1| Articular con la Dirección de Contratación para inlcuir en la solicitud del RUB (registro único de beneficiarios) en los estudios ... (01/abr/2022 - 30/sept/2022)</v>
      </c>
      <c r="E8" s="0" t="str">
        <f aca="false">IFERROR(__xludf.dummyfunction("""COMPUTED_VALUE"""),"Esta acción se encuentra en desarrollo con fecha de inicio del 1 de abril 2022 y fecha de terminación el 9 de septiembre 2022")</f>
        <v>Esta acción se encuentra en desarrollo con fecha de inicio del 1 de abril 2022 y fecha de terminación el 9 de septiembre 2022</v>
      </c>
      <c r="F8" s="0" t="str">
        <f aca="false">IFERROR(__xludf.dummyfunction("""COMPUTED_VALUE"""),"En desarrollo")</f>
        <v>En desarrollo</v>
      </c>
    </row>
    <row r="9" customFormat="false" ht="14.25" hidden="false" customHeight="false" outlineLevel="0" collapsed="false">
      <c r="A9" s="18" t="str">
        <f aca="false">IFERROR(MID(D9,1,FIND("|",D9)-1)&amp;"-"&amp;C9,"")</f>
        <v>AICI202202-6-1-1</v>
      </c>
      <c r="B9" s="19" t="n">
        <f aca="false">IFERROR(__xludf.dummyfunction("""COMPUTED_VALUE"""),44748)</f>
        <v>44748</v>
      </c>
      <c r="C9" s="0" t="n">
        <f aca="false">IFERROR(__xludf.dummyfunction("""COMPUTED_VALUE"""),1)</f>
        <v>1</v>
      </c>
      <c r="D9" s="0" t="str">
        <f aca="false">IFERROR(__xludf.dummyfunction("""COMPUTED_VALUE"""),"AICI202202-6-1| Dar continuidad al proceso de capacitación por parte del administrador de la herramienta (01/abr/2022 - 31/dic/2022)")</f>
        <v>AICI202202-6-1| Dar continuidad al proceso de capacitación por parte del administrador de la herramienta (01/abr/2022 - 31/dic/2022)</v>
      </c>
      <c r="E9" s="0" t="str">
        <f aca="false">IFERROR(__xludf.dummyfunction("""COMPUTED_VALUE"""),"Esta acción se encuentra en desarrollo con fecha de inicio del 1 de abril 2022 y fecha de terminación el 31 de diciembre 2022")</f>
        <v>Esta acción se encuentra en desarrollo con fecha de inicio del 1 de abril 2022 y fecha de terminación el 31 de diciembre 2022</v>
      </c>
      <c r="F9" s="0" t="str">
        <f aca="false">IFERROR(__xludf.dummyfunction("""COMPUTED_VALUE"""),"En desarrollo")</f>
        <v>En desarrollo</v>
      </c>
    </row>
    <row r="10" customFormat="false" ht="14.25" hidden="false" customHeight="false" outlineLevel="0" collapsed="false">
      <c r="A10" s="18" t="str">
        <f aca="false">IFERROR(MID(D10,1,FIND("|",D10)-1)&amp;"-"&amp;C10,"")</f>
        <v>AICI202202-7-1-1</v>
      </c>
      <c r="B10" s="19" t="n">
        <f aca="false">IFERROR(__xludf.dummyfunction("""COMPUTED_VALUE"""),44748)</f>
        <v>44748</v>
      </c>
      <c r="C10" s="0" t="n">
        <f aca="false">IFERROR(__xludf.dummyfunction("""COMPUTED_VALUE"""),1)</f>
        <v>1</v>
      </c>
      <c r="D10" s="0" t="str">
        <f aca="false">IFERROR(__xludf.dummyfunction("""COMPUTED_VALUE"""),"AICI202202-7-1| Dar continuidad al proceso de diligenciamiento de la matriz de seguimiento mensual con los campos requeridos para el reporte (01/abr/2022 - 31/dic/2022)")</f>
        <v>AICI202202-7-1| Dar continuidad al proceso de diligenciamiento de la matriz de seguimiento mensual con los campos requeridos para el reporte (01/abr/2022 - 31/dic/2022)</v>
      </c>
      <c r="E10" s="0" t="str">
        <f aca="false">IFERROR(__xludf.dummyfunction("""COMPUTED_VALUE"""),"Esta acción se encuentra en desarrollo con fecha de inicio del 1 de abril 2022 y fecha de terminación el 31 de diciembre 2022")</f>
        <v>Esta acción se encuentra en desarrollo con fecha de inicio del 1 de abril 2022 y fecha de terminación el 31 de diciembre 2022</v>
      </c>
      <c r="F10" s="0" t="str">
        <f aca="false">IFERROR(__xludf.dummyfunction("""COMPUTED_VALUE"""),"En desarrollo")</f>
        <v>En desarrollo</v>
      </c>
    </row>
    <row r="11" customFormat="false" ht="14.25" hidden="false" customHeight="false" outlineLevel="0" collapsed="false">
      <c r="A11" s="18" t="str">
        <f aca="false">IFERROR(MID(D11,1,FIND("|",D11)-1)&amp;"-"&amp;C11,"")</f>
        <v>AICI202202-8-1-1</v>
      </c>
      <c r="B11" s="19" t="n">
        <f aca="false">IFERROR(__xludf.dummyfunction("""COMPUTED_VALUE"""),44748)</f>
        <v>44748</v>
      </c>
      <c r="C11" s="0" t="n">
        <f aca="false">IFERROR(__xludf.dummyfunction("""COMPUTED_VALUE"""),1)</f>
        <v>1</v>
      </c>
      <c r="D11" s="0" t="str">
        <f aca="false">IFERROR(__xludf.dummyfunction("""COMPUTED_VALUE"""),"AICI202202-8-1| Capacitar de manera permanente a las diferentes areas de la Subred en SARLAFT (01/abr/2022 - 31/dic/2022)")</f>
        <v>AICI202202-8-1| Capacitar de manera permanente a las diferentes areas de la Subred en SARLAFT (01/abr/2022 - 31/dic/2022)</v>
      </c>
      <c r="E11" s="0" t="str">
        <f aca="false">IFERROR(__xludf.dummyfunction("""COMPUTED_VALUE"""),"Esta acción se encuentra en desarrollo con fecha de inicio del 1 de abril 2022 y fecha de terminación el 31 de diciembre 2022")</f>
        <v>Esta acción se encuentra en desarrollo con fecha de inicio del 1 de abril 2022 y fecha de terminación el 31 de diciembre 2022</v>
      </c>
      <c r="F11" s="0" t="str">
        <f aca="false">IFERROR(__xludf.dummyfunction("""COMPUTED_VALUE"""),"En desarrollo")</f>
        <v>En desarrollo</v>
      </c>
    </row>
    <row r="12" customFormat="false" ht="14.25" hidden="false" customHeight="false" outlineLevel="0" collapsed="false">
      <c r="A12" s="18" t="str">
        <f aca="false">IFERROR(MID(D12,1,FIND("|",D12)-1)&amp;"-"&amp;C12,"")</f>
        <v>AICI202202-2-1-2</v>
      </c>
      <c r="B12" s="19" t="n">
        <f aca="false">IFERROR(__xludf.dummyfunction("""COMPUTED_VALUE"""),44840)</f>
        <v>44840</v>
      </c>
      <c r="C12" s="0" t="n">
        <f aca="false">IFERROR(__xludf.dummyfunction("""COMPUTED_VALUE"""),2)</f>
        <v>2</v>
      </c>
      <c r="D12" s="0" t="str">
        <f aca="false">IFERROR(__xludf.dummyfunction("""COMPUTED_VALUE"""),"AICI202202-2-1| Articular con la Dirección de Contratación para inlcuir en la solicitud del RUB (registro único de beneficiarios) en los estudios ... (01/abr/2022 - 30/sept/2022)")</f>
        <v>AICI202202-2-1| Articular con la Dirección de Contratación para inlcuir en la solicitud del RUB (registro único de beneficiarios) en los estudios ... (01/abr/2022 - 30/sept/2022)</v>
      </c>
      <c r="E12" s="0" t="str">
        <f aca="false">IFERROR(__xludf.dummyfunction("""COMPUTED_VALUE"""),"No presentan soportes con relación a la acción en donde se tiene que incluir en la solicitud del RUB (registro único de beneficiarios) en los estudios previos como requisito para la contratación")</f>
        <v>No presentan soportes con relación a la acción en donde se tiene que incluir en la solicitud del RUB (registro único de beneficiarios) en los estudios previos como requisito para la contratación</v>
      </c>
      <c r="F12" s="0" t="str">
        <f aca="false">IFERROR(__xludf.dummyfunction("""COMPUTED_VALUE"""),"Atrasado")</f>
        <v>Atrasado</v>
      </c>
    </row>
    <row r="13" customFormat="false" ht="14.25" hidden="false" customHeight="false" outlineLevel="0" collapsed="false">
      <c r="A13" s="18" t="str">
        <f aca="false">IFERROR(MID(D13,1,FIND("|",D13)-1)&amp;"-"&amp;C13,"")</f>
        <v>AICI202202-4-1-2</v>
      </c>
      <c r="B13" s="19" t="n">
        <f aca="false">IFERROR(__xludf.dummyfunction("""COMPUTED_VALUE"""),44840)</f>
        <v>44840</v>
      </c>
      <c r="C13" s="0" t="n">
        <f aca="false">IFERROR(__xludf.dummyfunction("""COMPUTED_VALUE"""),2)</f>
        <v>2</v>
      </c>
      <c r="D13" s="0" t="str">
        <f aca="false">IFERROR(__xludf.dummyfunction("""COMPUTED_VALUE"""),"AICI202202-4-1| Actualizar el Manual SARLAFT, con las modificaciones exigidas por la normatividad vigente (01/abr/2022 - 30/jun/2022)")</f>
        <v>AICI202202-4-1| Actualizar el Manual SARLAFT, con las modificaciones exigidas por la normatividad vigente (01/abr/2022 - 30/jun/2022)</v>
      </c>
      <c r="E13" s="0" t="str">
        <f aca="false">IFERROR(__xludf.dummyfunction("""COMPUTED_VALUE"""),"No se encuentra actualizado el Manual SARLAFT, con las modificaciones exigidas por la normatividad vigente
La actualización y modificación del Manual de procedimientos SARLAFT, se presentó a Junta Directiva y fue aprobado mediante el Acuerdo 030 del 26 de"&amp;" septiembre de 2022.
El manual no se encuentra actualizado ni publicado en control documental de la entidad, se evidencia que se encuentra la versión 1 con fecha 24/10/2018 actualmente publicado")</f>
        <v>No se encuentra actualizado el Manual SARLAFT, con las modificaciones exigidas por la normatividad vigente
La actualización y modificación del Manual de procedimientos SARLAFT, se presentó a Junta Directiva y fue aprobado mediante el Acuerdo 030 del 26 de septiembre de 2022.
El manual no se encuentra actualizado ni publicado en control documental de la entidad, se evidencia que se encuentra la versión 1 con fecha 24/10/2018 actualmente publicado</v>
      </c>
      <c r="F13" s="0" t="str">
        <f aca="false">IFERROR(__xludf.dummyfunction("""COMPUTED_VALUE"""),"Atrasado")</f>
        <v>Atrasado</v>
      </c>
    </row>
    <row r="14" customFormat="false" ht="14.25" hidden="false" customHeight="false" outlineLevel="0" collapsed="false">
      <c r="A14" s="18" t="str">
        <f aca="false">IFERROR(MID(D14,1,FIND("|",D14)-1)&amp;"-"&amp;C14,"")</f>
        <v>AICI202202-5-1-2</v>
      </c>
      <c r="B14" s="19" t="n">
        <f aca="false">IFERROR(__xludf.dummyfunction("""COMPUTED_VALUE"""),44840)</f>
        <v>44840</v>
      </c>
      <c r="C14" s="0" t="n">
        <f aca="false">IFERROR(__xludf.dummyfunction("""COMPUTED_VALUE"""),2)</f>
        <v>2</v>
      </c>
      <c r="D14" s="0" t="str">
        <f aca="false">IFERROR(__xludf.dummyfunction("""COMPUTED_VALUE"""),"AICI202202-5-1| Articular con la Oficina de Desarrollo institucional para actualizar los controles que se encuentran en la matriz del mapa de riesgos (01/abr/2022 - 30/jun/2022)")</f>
        <v>AICI202202-5-1| Articular con la Oficina de Desarrollo institucional para actualizar los controles que se encuentran en la matriz del mapa de riesgos (01/abr/2022 - 30/jun/2022)</v>
      </c>
      <c r="E14" s="0" t="str">
        <f aca="false">IFERROR(__xludf.dummyfunction("""COMPUTED_VALUE"""),"No se evidencia acta de reunión programada para el mes de julio en donde se revisaría la actualización al mapa de riesgos y su respectiva socialización, en coordinación con el área de SARLAFT y la segunda linea de defensa.
Envío adjunto al presente, acta "&amp;"de reunión donde se lleva a cabo las siguientes acciones:
* Creación de la Mesa Auditora de Riesgos, en reemplazo del comité Auditor de Riesgos SARLAFT, 
* Seguimiento al plan de Riesgo institucional en coordinación con la Oficina de Desarrollo Institucio"&amp;"nal")</f>
        <v>No se evidencia acta de reunión programada para el mes de julio en donde se revisaría la actualización al mapa de riesgos y su respectiva socialización, en coordinación con el área de SARLAFT y la segunda linea de defensa.
Envío adjunto al presente, acta de reunión donde se lleva a cabo las siguientes acciones:
* Creación de la Mesa Auditora de Riesgos, en reemplazo del comité Auditor de Riesgos SARLAFT, 
* Seguimiento al plan de Riesgo institucional en coordinación con la Oficina de Desarrollo Institucional</v>
      </c>
      <c r="F14" s="0" t="str">
        <f aca="false">IFERROR(__xludf.dummyfunction("""COMPUTED_VALUE"""),"Atrasado")</f>
        <v>Atrasado</v>
      </c>
    </row>
    <row r="15" customFormat="false" ht="14.25" hidden="false" customHeight="false" outlineLevel="0" collapsed="false">
      <c r="A15" s="18" t="str">
        <f aca="false">IFERROR(MID(D15,1,FIND("|",D15)-1)&amp;"-"&amp;C15,"")</f>
        <v>AICI202202-6-1-2</v>
      </c>
      <c r="B15" s="19" t="n">
        <f aca="false">IFERROR(__xludf.dummyfunction("""COMPUTED_VALUE"""),44840)</f>
        <v>44840</v>
      </c>
      <c r="C15" s="0" t="n">
        <f aca="false">IFERROR(__xludf.dummyfunction("""COMPUTED_VALUE"""),2)</f>
        <v>2</v>
      </c>
      <c r="D15" s="0" t="str">
        <f aca="false">IFERROR(__xludf.dummyfunction("""COMPUTED_VALUE"""),"AICI202202-6-1| Dar continuidad al proceso de capacitación por parte del administrador de la herramienta (01/abr/2022 - 31/dic/2022)")</f>
        <v>AICI202202-6-1| Dar continuidad al proceso de capacitación por parte del administrador de la herramienta (01/abr/2022 - 31/dic/2022)</v>
      </c>
      <c r="E15" s="0" t="str">
        <f aca="false">IFERROR(__xludf.dummyfunction("""COMPUTED_VALUE"""),"no reporta")</f>
        <v>no reporta</v>
      </c>
      <c r="F15" s="0" t="str">
        <f aca="false">IFERROR(__xludf.dummyfunction("""COMPUTED_VALUE"""),"En desarrollo")</f>
        <v>En desarrollo</v>
      </c>
    </row>
    <row r="16" customFormat="false" ht="14.25" hidden="false" customHeight="false" outlineLevel="0" collapsed="false">
      <c r="A16" s="18" t="str">
        <f aca="false">IFERROR(MID(D16,1,FIND("|",D16)-1)&amp;"-"&amp;C16,"")</f>
        <v>AICI202202-7-1-2</v>
      </c>
      <c r="B16" s="19" t="n">
        <f aca="false">IFERROR(__xludf.dummyfunction("""COMPUTED_VALUE"""),44840)</f>
        <v>44840</v>
      </c>
      <c r="C16" s="0" t="n">
        <f aca="false">IFERROR(__xludf.dummyfunction("""COMPUTED_VALUE"""),2)</f>
        <v>2</v>
      </c>
      <c r="D16" s="0" t="str">
        <f aca="false">IFERROR(__xludf.dummyfunction("""COMPUTED_VALUE"""),"AICI202202-7-1| Dar continuidad al proceso de diligenciamiento de la matriz de seguimiento mensual con los campos requeridos para el reporte (01/abr/2022 - 31/dic/2022)")</f>
        <v>AICI202202-7-1| Dar continuidad al proceso de diligenciamiento de la matriz de seguimiento mensual con los campos requeridos para el reporte (01/abr/2022 - 31/dic/2022)</v>
      </c>
      <c r="E16" s="0" t="str">
        <f aca="false">IFERROR(__xludf.dummyfunction("""COMPUTED_VALUE"""),"No reporta")</f>
        <v>No reporta</v>
      </c>
      <c r="F16" s="0" t="str">
        <f aca="false">IFERROR(__xludf.dummyfunction("""COMPUTED_VALUE"""),"En desarrollo")</f>
        <v>En desarrollo</v>
      </c>
    </row>
    <row r="17" customFormat="false" ht="14.25" hidden="false" customHeight="false" outlineLevel="0" collapsed="false">
      <c r="A17" s="18" t="str">
        <f aca="false">IFERROR(MID(D17,1,FIND("|",D17)-1)&amp;"-"&amp;C17,"")</f>
        <v>AICI202202-8-1-2</v>
      </c>
      <c r="B17" s="19" t="n">
        <f aca="false">IFERROR(__xludf.dummyfunction("""COMPUTED_VALUE"""),44840)</f>
        <v>44840</v>
      </c>
      <c r="C17" s="0" t="n">
        <f aca="false">IFERROR(__xludf.dummyfunction("""COMPUTED_VALUE"""),2)</f>
        <v>2</v>
      </c>
      <c r="D17" s="0" t="str">
        <f aca="false">IFERROR(__xludf.dummyfunction("""COMPUTED_VALUE"""),"AICI202202-8-1| Capacitar de manera permanente a las diferentes areas de la Subred en SARLAFT (01/abr/2022 - 31/dic/2022)")</f>
        <v>AICI202202-8-1| Capacitar de manera permanente a las diferentes areas de la Subred en SARLAFT (01/abr/2022 - 31/dic/2022)</v>
      </c>
      <c r="E17" s="0" t="str">
        <f aca="false">IFERROR(__xludf.dummyfunction("""COMPUTED_VALUE"""),"No reporta")</f>
        <v>No reporta</v>
      </c>
      <c r="F17" s="0" t="str">
        <f aca="false">IFERROR(__xludf.dummyfunction("""COMPUTED_VALUE"""),"En desarrollo")</f>
        <v>En desarrollo</v>
      </c>
    </row>
    <row r="18" customFormat="false" ht="14.25" hidden="false" customHeight="false" outlineLevel="0" collapsed="false">
      <c r="A18" s="18" t="str">
        <f aca="false">IFERROR(MID(D18,1,FIND("|",D18)-1)&amp;"-"&amp;C18,"")</f>
        <v>AICI202202-2-1-3</v>
      </c>
      <c r="B18" s="19" t="n">
        <f aca="false">IFERROR(__xludf.dummyfunction("""COMPUTED_VALUE"""),44943)</f>
        <v>44943</v>
      </c>
      <c r="C18" s="0" t="n">
        <f aca="false">IFERROR(__xludf.dummyfunction("""COMPUTED_VALUE"""),3)</f>
        <v>3</v>
      </c>
      <c r="D18" s="0" t="str">
        <f aca="false">IFERROR(__xludf.dummyfunction("""COMPUTED_VALUE"""),"AICI202202-2-1| Articular con la Dirección de Contratación para inlcuir en la solicitud del RUB (registro único de beneficiarios) en los estudios ... (01/abr/2022 - 30/sept/2022)")</f>
        <v>AICI202202-2-1| Articular con la Dirección de Contratación para inlcuir en la solicitud del RUB (registro único de beneficiarios) en los estudios ... (01/abr/2022 - 30/sept/2022)</v>
      </c>
      <c r="E18" s="0" t="str">
        <f aca="false">IFERROR(__xludf.dummyfunction("""COMPUTED_VALUE"""),"Se llevo a cabo reunión con la oficina de Contratación, con el fin de incorporar la solicitud del RUB en los estudios previos, se levanto acta de reunión. Se adjunta la presente acta ")</f>
        <v>Se llevo a cabo reunión con la oficina de Contratación, con el fin de incorporar la solicitud del RUB en los estudios previos, se levanto acta de reunión. Se adjunta la presente acta </v>
      </c>
      <c r="F18" s="0" t="str">
        <f aca="false">IFERROR(__xludf.dummyfunction("""COMPUTED_VALUE"""),"Completo")</f>
        <v>Completo</v>
      </c>
      <c r="G18" s="0" t="str">
        <f aca="false">IFERROR(__xludf.dummyfunction("""COMPUTED_VALUE"""),"Sí")</f>
        <v>Sí</v>
      </c>
    </row>
    <row r="19" customFormat="false" ht="14.25" hidden="false" customHeight="false" outlineLevel="0" collapsed="false">
      <c r="A19" s="18" t="str">
        <f aca="false">IFERROR(MID(D19,1,FIND("|",D19)-1)&amp;"-"&amp;C19,"")</f>
        <v>AICI202202-4-1-3</v>
      </c>
      <c r="B19" s="19" t="n">
        <f aca="false">IFERROR(__xludf.dummyfunction("""COMPUTED_VALUE"""),44943)</f>
        <v>44943</v>
      </c>
      <c r="C19" s="0" t="n">
        <f aca="false">IFERROR(__xludf.dummyfunction("""COMPUTED_VALUE"""),3)</f>
        <v>3</v>
      </c>
      <c r="D19" s="0" t="str">
        <f aca="false">IFERROR(__xludf.dummyfunction("""COMPUTED_VALUE"""),"AICI202202-4-1| Actualizar el Manual SARLAFT, con las modificaciones exigidas por la normatividad vigente (01/abr/2022 - 30/jun/2022)")</f>
        <v>AICI202202-4-1| Actualizar el Manual SARLAFT, con las modificaciones exigidas por la normatividad vigente (01/abr/2022 - 30/jun/2022)</v>
      </c>
      <c r="E19" s="0" t="str">
        <f aca="false">IFERROR(__xludf.dummyfunction("""COMPUTED_VALUE"""),"Se efectúo la actualización del Manual de procedimientos SARLAFT. Con lo requerido en la circular 005-5 de 2021. Mediante el Acuerdo No 031 de 2021 SISNORTE, mediante el cual se implementó el MANUAL DE PROCEDIMIENTOS PARA LA ADMINISTRACIÓN DEL RIESGO DE L"&amp;"AVADO DE ACTIVOS Y FINANCIACIÓN DEL TERRORISMO SARLAFT PROLIFERACIÓN DE ARMAS DE DESTRUCCIÓN MASIVA-PADM Y SISTEMA DE CORRUPCIÓN OPACIDAD Y FRAUDE-SICOF. No se evidencia la formalización del manual por parte del área y su publicación en la plataforma Alme"&amp;"ra.")</f>
        <v>Se efectúo la actualización del Manual de procedimientos SARLAFT. Con lo requerido en la circular 005-5 de 2021. Mediante el Acuerdo No 031 de 2021 SISNORTE, mediante el cual se implementó el MANUAL DE PROCEDIMIENTOS PARA LA ADMINISTRACIÓN DEL RIESGO DE LAVADO DE ACTIVOS Y FINANCIACIÓN DEL TERRORISMO SARLAFT PROLIFERACIÓN DE ARMAS DE DESTRUCCIÓN MASIVA-PADM Y SISTEMA DE CORRUPCIÓN OPACIDAD Y FRAUDE-SICOF. No se evidencia la formalización del manual por parte del área y su publicación en la plataforma Almera.</v>
      </c>
      <c r="F19" s="0" t="str">
        <f aca="false">IFERROR(__xludf.dummyfunction("""COMPUTED_VALUE"""),"Atrasado")</f>
        <v>Atrasado</v>
      </c>
    </row>
    <row r="20" customFormat="false" ht="14.25" hidden="false" customHeight="false" outlineLevel="0" collapsed="false">
      <c r="A20" s="18" t="str">
        <f aca="false">IFERROR(MID(D20,1,FIND("|",D20)-1)&amp;"-"&amp;C20,"")</f>
        <v>AICI202202-5-1-3</v>
      </c>
      <c r="B20" s="19" t="n">
        <f aca="false">IFERROR(__xludf.dummyfunction("""COMPUTED_VALUE"""),44943)</f>
        <v>44943</v>
      </c>
      <c r="C20" s="0" t="n">
        <f aca="false">IFERROR(__xludf.dummyfunction("""COMPUTED_VALUE"""),3)</f>
        <v>3</v>
      </c>
      <c r="D20" s="0" t="str">
        <f aca="false">IFERROR(__xludf.dummyfunction("""COMPUTED_VALUE"""),"AICI202202-5-1| Articular con la Oficina de Desarrollo institucional para actualizar los controles que se encuentran en la matriz del mapa de riesgos (01/abr/2022 - 30/jun/2022)")</f>
        <v>AICI202202-5-1| Articular con la Oficina de Desarrollo institucional para actualizar los controles que se encuentran en la matriz del mapa de riesgos (01/abr/2022 - 30/jun/2022)</v>
      </c>
      <c r="E20" s="0" t="str">
        <f aca="false">IFERROR(__xludf.dummyfunction("""COMPUTED_VALUE"""),"Se efectuó actualización del mapa de riesgos con el área de desarrollo institucional y se entrego el respectivo seguimiento al cuarto cuatrimestre del año 2022.")</f>
        <v>Se efectuó actualización del mapa de riesgos con el área de desarrollo institucional y se entrego el respectivo seguimiento al cuarto cuatrimestre del año 2022.</v>
      </c>
      <c r="F20" s="0" t="str">
        <f aca="false">IFERROR(__xludf.dummyfunction("""COMPUTED_VALUE"""),"Completo")</f>
        <v>Completo</v>
      </c>
      <c r="G20" s="0" t="str">
        <f aca="false">IFERROR(__xludf.dummyfunction("""COMPUTED_VALUE"""),"Sí")</f>
        <v>Sí</v>
      </c>
    </row>
    <row r="21" customFormat="false" ht="14.25" hidden="false" customHeight="false" outlineLevel="0" collapsed="false">
      <c r="A21" s="18" t="str">
        <f aca="false">IFERROR(MID(D21,1,FIND("|",D21)-1)&amp;"-"&amp;C21,"")</f>
        <v>AICI202202-6-1-3</v>
      </c>
      <c r="B21" s="19" t="n">
        <f aca="false">IFERROR(__xludf.dummyfunction("""COMPUTED_VALUE"""),44943)</f>
        <v>44943</v>
      </c>
      <c r="C21" s="0" t="n">
        <f aca="false">IFERROR(__xludf.dummyfunction("""COMPUTED_VALUE"""),3)</f>
        <v>3</v>
      </c>
      <c r="D21" s="0" t="str">
        <f aca="false">IFERROR(__xludf.dummyfunction("""COMPUTED_VALUE"""),"AICI202202-6-1| Dar continuidad al proceso de capacitación por parte del administrador de la herramienta (01/abr/2022 - 31/dic/2022)")</f>
        <v>AICI202202-6-1| Dar continuidad al proceso de capacitación por parte del administrador de la herramienta (01/abr/2022 - 31/dic/2022)</v>
      </c>
      <c r="E21" s="0" t="str">
        <f aca="false">IFERROR(__xludf.dummyfunction("""COMPUTED_VALUE"""),"Se tiene el contrato de  compra No 101-2021 - Soluciones de Tecnología de Información SAS y su supervisión está a cargo de la profesional SARLAFT, que además recibió la capacitación funcional sobre el software de la herramienta  tecnológica AML-RISK en la"&amp;" que se lleva acabo las consultas para la búsqueda de personas relacionadas con el Lavado de Activos y la Financiación del Terrorismo (LA/FT).")</f>
        <v>Se tiene el contrato de  compra No 101-2021 - Soluciones de Tecnología de Información SAS y su supervisión está a cargo de la profesional SARLAFT, que además recibió la capacitación funcional sobre el software de la herramienta  tecnológica AML-RISK en la que se lleva acabo las consultas para la búsqueda de personas relacionadas con el Lavado de Activos y la Financiación del Terrorismo (LA/FT).</v>
      </c>
      <c r="F21" s="0" t="str">
        <f aca="false">IFERROR(__xludf.dummyfunction("""COMPUTED_VALUE"""),"Completo")</f>
        <v>Completo</v>
      </c>
      <c r="G21" s="0" t="str">
        <f aca="false">IFERROR(__xludf.dummyfunction("""COMPUTED_VALUE"""),"Sí")</f>
        <v>Sí</v>
      </c>
    </row>
    <row r="22" customFormat="false" ht="14.25" hidden="false" customHeight="false" outlineLevel="0" collapsed="false">
      <c r="A22" s="18" t="str">
        <f aca="false">IFERROR(MID(D22,1,FIND("|",D22)-1)&amp;"-"&amp;C22,"")</f>
        <v>AICI202202-7-1-3</v>
      </c>
      <c r="B22" s="19" t="n">
        <f aca="false">IFERROR(__xludf.dummyfunction("""COMPUTED_VALUE"""),44943)</f>
        <v>44943</v>
      </c>
      <c r="C22" s="0" t="n">
        <f aca="false">IFERROR(__xludf.dummyfunction("""COMPUTED_VALUE"""),3)</f>
        <v>3</v>
      </c>
      <c r="D22" s="0" t="str">
        <f aca="false">IFERROR(__xludf.dummyfunction("""COMPUTED_VALUE"""),"AICI202202-7-1| Dar continuidad al proceso de diligenciamiento de la matriz de seguimiento mensual con los campos requeridos para el reporte (01/abr/2022 - 31/dic/2022)")</f>
        <v>AICI202202-7-1| Dar continuidad al proceso de diligenciamiento de la matriz de seguimiento mensual con los campos requeridos para el reporte (01/abr/2022 - 31/dic/2022)</v>
      </c>
      <c r="E22" s="0" t="str">
        <f aca="false">IFERROR(__xludf.dummyfunction("""COMPUTED_VALUE"""),"Se han presentado de manera oportuna los respectivos reportes a la UIAF. Se anexa la respectiva relación vigencia 2022.")</f>
        <v>Se han presentado de manera oportuna los respectivos reportes a la UIAF. Se anexa la respectiva relación vigencia 2022.</v>
      </c>
      <c r="F22" s="0" t="str">
        <f aca="false">IFERROR(__xludf.dummyfunction("""COMPUTED_VALUE"""),"Completo")</f>
        <v>Completo</v>
      </c>
      <c r="G22" s="0" t="str">
        <f aca="false">IFERROR(__xludf.dummyfunction("""COMPUTED_VALUE"""),"Sí")</f>
        <v>Sí</v>
      </c>
    </row>
    <row r="23" customFormat="false" ht="14.25" hidden="false" customHeight="false" outlineLevel="0" collapsed="false">
      <c r="A23" s="18" t="str">
        <f aca="false">IFERROR(MID(D23,1,FIND("|",D23)-1)&amp;"-"&amp;C23,"")</f>
        <v>AICI202202-8-1-3</v>
      </c>
      <c r="B23" s="19" t="n">
        <f aca="false">IFERROR(__xludf.dummyfunction("""COMPUTED_VALUE"""),44943)</f>
        <v>44943</v>
      </c>
      <c r="C23" s="0" t="n">
        <f aca="false">IFERROR(__xludf.dummyfunction("""COMPUTED_VALUE"""),3)</f>
        <v>3</v>
      </c>
      <c r="D23" s="0" t="str">
        <f aca="false">IFERROR(__xludf.dummyfunction("""COMPUTED_VALUE"""),"AICI202202-8-1| Capacitar de manera permanente a las diferentes areas de la Subred en SARLAFT (01/abr/2022 - 31/dic/2022)")</f>
        <v>AICI202202-8-1| Capacitar de manera permanente a las diferentes areas de la Subred en SARLAFT (01/abr/2022 - 31/dic/2022)</v>
      </c>
      <c r="E23" s="0" t="str">
        <f aca="false">IFERROR(__xludf.dummyfunction("""COMPUTED_VALUE"""),"Con la actualización del Manual, se llevara a cabo la actualización del contenido de la plataforma MOODLE Como medio capacitación para el 2023,  mediante la modalidad virtual.")</f>
        <v>Con la actualización del Manual, se llevara a cabo la actualización del contenido de la plataforma MOODLE Como medio capacitación para el 2023,  mediante la modalidad virtual.</v>
      </c>
      <c r="F23" s="0" t="str">
        <f aca="false">IFERROR(__xludf.dummyfunction("""COMPUTED_VALUE"""),"Atrasado")</f>
        <v>Atrasado</v>
      </c>
    </row>
    <row r="24" customFormat="false" ht="14.25" hidden="false" customHeight="false" outlineLevel="0" collapsed="false">
      <c r="A24" s="18" t="str">
        <f aca="false">IFERROR(MID(D24,1,FIND("|",D24)-1)&amp;"-"&amp;C24,"")</f>
        <v>AICI202202-4-1-4</v>
      </c>
      <c r="B24" s="19" t="n">
        <f aca="false">IFERROR(__xludf.dummyfunction("""COMPUTED_VALUE"""),45034)</f>
        <v>45034</v>
      </c>
      <c r="C24" s="0" t="n">
        <f aca="false">IFERROR(__xludf.dummyfunction("""COMPUTED_VALUE"""),4)</f>
        <v>4</v>
      </c>
      <c r="D24" s="0" t="str">
        <f aca="false">IFERROR(__xludf.dummyfunction("""COMPUTED_VALUE"""),"AICI202202-4-1| Actualizar el Manual SARLAFT, con las modificaciones exigidas por la normatividad vigente (01/abr/2022 - 30/jun/2022)")</f>
        <v>AICI202202-4-1| Actualizar el Manual SARLAFT, con las modificaciones exigidas por la normatividad vigente (01/abr/2022 - 30/jun/2022)</v>
      </c>
      <c r="E24" s="0" t="str">
        <f aca="false">IFERROR(__xludf.dummyfunction("""COMPUTED_VALUE"""),"Se evidencia en el sistema Almera la actualización del manual para la administración del riesgo de lavado activos, financiación del terrorismo código AP-GF-M-01-02 versión No. 2 con fecha de actualización 31/12/2022.  Sin embargo, esta acción no se consid"&amp;"era efectiva toda vez que en el informe de seguimiento al SARLAF del 14/03/2023,  se reitera ajustar el manual de procedimientos publicado en Almera, con los nombres de las dependencias y comités dado que figura Gestión publica y autocontrol y comité de r"&amp;"iesgos.")</f>
        <v>Se evidencia en el sistema Almera la actualización del manual para la administración del riesgo de lavado activos, financiación del terrorismo código AP-GF-M-01-02 versión No. 2 con fecha de actualización 31/12/2022.  Sin embargo, esta acción no se considera efectiva toda vez que en el informe de seguimiento al SARLAF del 14/03/2023,  se reitera ajustar el manual de procedimientos publicado en Almera, con los nombres de las dependencias y comités dado que figura Gestión publica y autocontrol y comité de riesgos.</v>
      </c>
      <c r="F24" s="0" t="str">
        <f aca="false">IFERROR(__xludf.dummyfunction("""COMPUTED_VALUE"""),"Completo")</f>
        <v>Completo</v>
      </c>
      <c r="G24" s="0" t="str">
        <f aca="false">IFERROR(__xludf.dummyfunction("""COMPUTED_VALUE"""),"No")</f>
        <v>No</v>
      </c>
    </row>
    <row r="25" customFormat="false" ht="14.25" hidden="false" customHeight="false" outlineLevel="0" collapsed="false">
      <c r="A25" s="18" t="str">
        <f aca="false">IFERROR(MID(D25,1,FIND("|",D25)-1)&amp;"-"&amp;C25,"")</f>
        <v>AICI202202-8-1-4</v>
      </c>
      <c r="B25" s="19" t="n">
        <f aca="false">IFERROR(__xludf.dummyfunction("""COMPUTED_VALUE"""),45034)</f>
        <v>45034</v>
      </c>
      <c r="C25" s="0" t="n">
        <f aca="false">IFERROR(__xludf.dummyfunction("""COMPUTED_VALUE"""),4)</f>
        <v>4</v>
      </c>
      <c r="D25" s="0" t="str">
        <f aca="false">IFERROR(__xludf.dummyfunction("""COMPUTED_VALUE"""),"AICI202202-8-1| Capacitar de manera permanente a las diferentes areas de la Subred en SARLAFT (01/abr/2022 - 31/dic/2022)")</f>
        <v>AICI202202-8-1| Capacitar de manera permanente a las diferentes areas de la Subred en SARLAFT (01/abr/2022 - 31/dic/2022)</v>
      </c>
      <c r="E25" s="0" t="str">
        <f aca="false">IFERROR(__xludf.dummyfunction("""COMPUTED_VALUE"""),"Se evidencian capacitaciones de SARLAF en la plataforma MOODLE.  Además se muestran las piezas comunicativas sobre las capacitaciones realizadas a funcionarios.")</f>
        <v>Se evidencian capacitaciones de SARLAF en la plataforma MOODLE.  Además se muestran las piezas comunicativas sobre las capacitaciones realizadas a funcionarios.</v>
      </c>
      <c r="F25" s="0" t="str">
        <f aca="false">IFERROR(__xludf.dummyfunction("""COMPUTED_VALUE"""),"Completo")</f>
        <v>Completo</v>
      </c>
      <c r="G25" s="0" t="str">
        <f aca="false">IFERROR(__xludf.dummyfunction("""COMPUTED_VALUE"""),"Sí")</f>
        <v>Sí</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1800</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AICI202201-1-1-1</v>
      </c>
      <c r="B4" s="19" t="n">
        <f aca="false">IFERROR(__xludf.dummyfunction("""COMPUTED_VALUE"""),44750)</f>
        <v>44750</v>
      </c>
      <c r="C4" s="0" t="n">
        <f aca="false">IFERROR(__xludf.dummyfunction("""COMPUTED_VALUE"""),1)</f>
        <v>1</v>
      </c>
      <c r="D4" s="0" t="str">
        <f aca="false">IFERROR(__xludf.dummyfunction("""COMPUTED_VALUE"""),"AICI202201-1-1| Cruzar las bases de datos de activos fijos y sistemas de información incluidas las bajas, para determinar las diferencias especificas. (01/04/2022 - 30/06/2022)")</f>
        <v>AICI202201-1-1| Cruzar las bases de datos de activos fijos y sistemas de información incluidas las bajas, para determinar las diferencias especificas. (01/04/2022 - 30/06/2022)</v>
      </c>
      <c r="E4" s="0" t="str">
        <f aca="false">IFERROR(__xludf.dummyfunction("""COMPUTED_VALUE"""),"Se adelantaron reuniones para conciliar los activos del modulo del sistema contra el inventario de la oficina de sistemas de información - tics.")</f>
        <v>Se adelantaron reuniones para conciliar los activos del modulo del sistema contra el inventario de la oficina de sistemas de información - tics.</v>
      </c>
      <c r="F4" s="0" t="str">
        <f aca="false">IFERROR(__xludf.dummyfunction("""COMPUTED_VALUE"""),"Atrasado")</f>
        <v>Atrasado</v>
      </c>
    </row>
    <row r="5" customFormat="false" ht="14.25" hidden="false" customHeight="false" outlineLevel="0" collapsed="false">
      <c r="A5" s="18" t="str">
        <f aca="false">IFERROR(MID(D5,1,FIND("|",D5)-1)&amp;"-"&amp;C5,"")</f>
        <v>AICI202201-1-2-1</v>
      </c>
      <c r="B5" s="19" t="n">
        <f aca="false">IFERROR(__xludf.dummyfunction("""COMPUTED_VALUE"""),44750)</f>
        <v>44750</v>
      </c>
      <c r="C5" s="0" t="n">
        <f aca="false">IFERROR(__xludf.dummyfunction("""COMPUTED_VALUE"""),1)</f>
        <v>1</v>
      </c>
      <c r="D5" s="0" t="str">
        <f aca="false">IFERROR(__xludf.dummyfunction("""COMPUTED_VALUE"""),"AICI202201-1-2| Replaquetizar los equipos de computo con placa repetidas. (01/04/2022 - 30/06/2022)")</f>
        <v>AICI202201-1-2| Replaquetizar los equipos de computo con placa repetidas. (01/04/2022 - 30/06/2022)</v>
      </c>
      <c r="E5" s="0" t="str">
        <f aca="false">IFERROR(__xludf.dummyfunction("""COMPUTED_VALUE"""),"Se identificaron los equipos con placas repetidas y se dio inicio a la replaquetización en la unidad de chapinero.")</f>
        <v>Se identificaron los equipos con placas repetidas y se dio inicio a la replaquetización en la unidad de chapinero.</v>
      </c>
      <c r="F5" s="0" t="str">
        <f aca="false">IFERROR(__xludf.dummyfunction("""COMPUTED_VALUE"""),"Atrasado")</f>
        <v>Atrasado</v>
      </c>
    </row>
    <row r="6" customFormat="false" ht="14.25" hidden="false" customHeight="false" outlineLevel="0" collapsed="false">
      <c r="A6" s="18" t="str">
        <f aca="false">IFERROR(MID(D6,1,FIND("|",D6)-1)&amp;"-"&amp;C6,"")</f>
        <v>AICI202201-1-3-1</v>
      </c>
      <c r="B6" s="19" t="n">
        <f aca="false">IFERROR(__xludf.dummyfunction("""COMPUTED_VALUE"""),44750)</f>
        <v>44750</v>
      </c>
      <c r="C6" s="0" t="n">
        <f aca="false">IFERROR(__xludf.dummyfunction("""COMPUTED_VALUE"""),1)</f>
        <v>1</v>
      </c>
      <c r="D6" s="0" t="str">
        <f aca="false">IFERROR(__xludf.dummyfunction("""COMPUTED_VALUE"""),"AICI202201-1-3| Elaborar acto administrativo de baja y actualización en el sistema de información, de acuerdo a INSTRUCTIVO BAJA DE BIENES EN ... (01/07/2022 - 31/07/2022)")</f>
        <v>AICI202201-1-3| Elaborar acto administrativo de baja y actualización en el sistema de información, de acuerdo a INSTRUCTIVO BAJA DE BIENES EN ... (01/07/2022 - 31/07/2022)</v>
      </c>
      <c r="E6" s="0" t="str">
        <f aca="false">IFERROR(__xludf.dummyfunction("""COMPUTED_VALUE"""),"La oficina de TIcs remitió los conceptos de baja y los activos a la oficina de activos en fray.  Se espera la reunión del comité para aprobación de las bajas semestrales.")</f>
        <v>La oficina de TIcs remitió los conceptos de baja y los activos a la oficina de activos en fray.  Se espera la reunión del comité para aprobación de las bajas semestrales.</v>
      </c>
      <c r="F6" s="0" t="str">
        <f aca="false">IFERROR(__xludf.dummyfunction("""COMPUTED_VALUE"""),"En desarrollo")</f>
        <v>En desarrollo</v>
      </c>
    </row>
    <row r="7" customFormat="false" ht="14.25" hidden="false" customHeight="false" outlineLevel="0" collapsed="false">
      <c r="A7" s="18" t="str">
        <f aca="false">IFERROR(MID(D7,1,FIND("|",D7)-1)&amp;"-"&amp;C7,"")</f>
        <v>AICI202201-2-1-1</v>
      </c>
      <c r="B7" s="19" t="n">
        <f aca="false">IFERROR(__xludf.dummyfunction("""COMPUTED_VALUE"""),44750)</f>
        <v>44750</v>
      </c>
      <c r="C7" s="0" t="n">
        <f aca="false">IFERROR(__xludf.dummyfunction("""COMPUTED_VALUE"""),1)</f>
        <v>1</v>
      </c>
      <c r="D7" s="0" t="str">
        <f aca="false">IFERROR(__xludf.dummyfunction("""COMPUTED_VALUE"""),"AICI202201-2-1| Adoptar el INSTRUCTIVO BAJA DE BIENES EN PROPIEDAD PLANTA Y EQUIPO (01/04/2022 - 30/04/2022)")</f>
        <v>AICI202201-2-1| Adoptar el INSTRUCTIVO BAJA DE BIENES EN PROPIEDAD PLANTA Y EQUIPO (01/04/2022 - 30/04/2022)</v>
      </c>
      <c r="E7" s="0" t="str">
        <f aca="false">IFERROR(__xludf.dummyfunction("""COMPUTED_VALUE"""),"Se realizo la actualización del documento de RAEES está pendiente la normalización")</f>
        <v>Se realizo la actualización del documento de RAEES está pendiente la normalización</v>
      </c>
      <c r="F7" s="0" t="str">
        <f aca="false">IFERROR(__xludf.dummyfunction("""COMPUTED_VALUE"""),"Atrasado")</f>
        <v>Atrasado</v>
      </c>
    </row>
    <row r="8" customFormat="false" ht="14.25" hidden="false" customHeight="false" outlineLevel="0" collapsed="false">
      <c r="A8" s="18" t="str">
        <f aca="false">IFERROR(MID(D8,1,FIND("|",D8)-1)&amp;"-"&amp;C8,"")</f>
        <v>AICI202201-2-2-1</v>
      </c>
      <c r="B8" s="19" t="n">
        <f aca="false">IFERROR(__xludf.dummyfunction("""COMPUTED_VALUE"""),44750)</f>
        <v>44750</v>
      </c>
      <c r="C8" s="0" t="n">
        <f aca="false">IFERROR(__xludf.dummyfunction("""COMPUTED_VALUE"""),1)</f>
        <v>1</v>
      </c>
      <c r="D8" s="0" t="str">
        <f aca="false">IFERROR(__xludf.dummyfunction("""COMPUTED_VALUE"""),"AICI202201-2-2| Remitir a la oficina de Activos Fijos el listado de bajas con el concepto técnico de forma bimensual. (01/04/2022 - 31/12/2022)")</f>
        <v>AICI202201-2-2| Remitir a la oficina de Activos Fijos el listado de bajas con el concepto técnico de forma bimensual. (01/04/2022 - 31/12/2022)</v>
      </c>
      <c r="E8" s="0" t="str">
        <f aca="false">IFERROR(__xludf.dummyfunction("""COMPUTED_VALUE"""),"Se evidencia el envío del listado de activos fijos por parte del área de TICs, a la oficina de activos fijos para continuar con el tramite de baja.")</f>
        <v>Se evidencia el envío del listado de activos fijos por parte del área de TICs, a la oficina de activos fijos para continuar con el tramite de baja.</v>
      </c>
      <c r="F8" s="0" t="str">
        <f aca="false">IFERROR(__xludf.dummyfunction("""COMPUTED_VALUE"""),"Completo")</f>
        <v>Completo</v>
      </c>
      <c r="G8" s="0" t="str">
        <f aca="false">IFERROR(__xludf.dummyfunction("""COMPUTED_VALUE"""),"Sí")</f>
        <v>Sí</v>
      </c>
    </row>
    <row r="9" customFormat="false" ht="14.25" hidden="false" customHeight="false" outlineLevel="0" collapsed="false">
      <c r="A9" s="18" t="str">
        <f aca="false">IFERROR(MID(D9,1,FIND("|",D9)-1)&amp;"-"&amp;C9,"")</f>
        <v>AICI202201-2-3-1</v>
      </c>
      <c r="B9" s="19" t="n">
        <f aca="false">IFERROR(__xludf.dummyfunction("""COMPUTED_VALUE"""),44750)</f>
        <v>44750</v>
      </c>
      <c r="C9" s="0" t="n">
        <f aca="false">IFERROR(__xludf.dummyfunction("""COMPUTED_VALUE"""),1)</f>
        <v>1</v>
      </c>
      <c r="D9" s="0" t="str">
        <f aca="false">IFERROR(__xludf.dummyfunction("""COMPUTED_VALUE"""),"AICI202201-2-3| Revisar y conciliar periódica la relación de equipos para baja previo al comité de inventarios entre activos fijos y sistemas. (01/04/2022 - 31/12/2022)")</f>
        <v>AICI202201-2-3| Revisar y conciliar periódica la relación de equipos para baja previo al comité de inventarios entre activos fijos y sistemas. (01/04/2022 - 31/12/2022)</v>
      </c>
      <c r="E9" s="0" t="str">
        <f aca="false">IFERROR(__xludf.dummyfunction("""COMPUTED_VALUE"""),"Con la entrega de los activos por parte de sistemas a la oficina de activos fijos, se realiza la conciliación y se consolida junto con los demás activos que se van a dar de baja")</f>
        <v>Con la entrega de los activos por parte de sistemas a la oficina de activos fijos, se realiza la conciliación y se consolida junto con los demás activos que se van a dar de baja</v>
      </c>
      <c r="F9" s="0" t="str">
        <f aca="false">IFERROR(__xludf.dummyfunction("""COMPUTED_VALUE"""),"En desarrollo")</f>
        <v>En desarrollo</v>
      </c>
    </row>
    <row r="10" customFormat="false" ht="14.25" hidden="false" customHeight="false" outlineLevel="0" collapsed="false">
      <c r="A10" s="18" t="str">
        <f aca="false">IFERROR(MID(D10,1,FIND("|",D10)-1)&amp;"-"&amp;C10,"")</f>
        <v>AICI202201-3-1-1</v>
      </c>
      <c r="B10" s="19" t="n">
        <f aca="false">IFERROR(__xludf.dummyfunction("""COMPUTED_VALUE"""),44750)</f>
        <v>44750</v>
      </c>
      <c r="C10" s="0" t="n">
        <f aca="false">IFERROR(__xludf.dummyfunction("""COMPUTED_VALUE"""),1)</f>
        <v>1</v>
      </c>
      <c r="D10" s="0" t="str">
        <f aca="false">IFERROR(__xludf.dummyfunction("""COMPUTED_VALUE"""),"AICI202201-3-1| Solicitar al proveedor de los equipos de computo en modalidad de arrendamiento el estado del licenciamiento del software ... (01/04/2022 - 30/04/2022)")</f>
        <v>AICI202201-3-1| Solicitar al proveedor de los equipos de computo en modalidad de arrendamiento el estado del licenciamiento del software ... (01/04/2022 - 30/04/2022)</v>
      </c>
      <c r="E10" s="0" t="str">
        <f aca="false">IFERROR(__xludf.dummyfunction("""COMPUTED_VALUE"""),"El área de sistemas ha requerido al proveedor para el envío de los soportes de licenciamiento a través de correo electrónico.  Sin embargo, a la fecha de este seguimiento no se cuenta con los soportes requeridos.")</f>
        <v>El área de sistemas ha requerido al proveedor para el envío de los soportes de licenciamiento a través de correo electrónico.  Sin embargo, a la fecha de este seguimiento no se cuenta con los soportes requeridos.</v>
      </c>
      <c r="F10" s="0" t="str">
        <f aca="false">IFERROR(__xludf.dummyfunction("""COMPUTED_VALUE"""),"Atrasado")</f>
        <v>Atrasado</v>
      </c>
    </row>
    <row r="11" customFormat="false" ht="14.25" hidden="false" customHeight="false" outlineLevel="0" collapsed="false">
      <c r="A11" s="18" t="str">
        <f aca="false">IFERROR(MID(D11,1,FIND("|",D11)-1)&amp;"-"&amp;C11,"")</f>
        <v>AICI202201-4-1-1</v>
      </c>
      <c r="B11" s="19" t="n">
        <f aca="false">IFERROR(__xludf.dummyfunction("""COMPUTED_VALUE"""),44750)</f>
        <v>44750</v>
      </c>
      <c r="C11" s="0" t="n">
        <f aca="false">IFERROR(__xludf.dummyfunction("""COMPUTED_VALUE"""),1)</f>
        <v>1</v>
      </c>
      <c r="D11" s="0" t="str">
        <f aca="false">IFERROR(__xludf.dummyfunction("""COMPUTED_VALUE"""),"AICI202201-4-1| Elaborar, publicar y socializar el instructivo de aprovechamiento de las partes de los equipos de computo. (01/05/2022 - 30/06/2022)")</f>
        <v>AICI202201-4-1| Elaborar, publicar y socializar el instructivo de aprovechamiento de las partes de los equipos de computo. (01/05/2022 - 30/06/2022)</v>
      </c>
      <c r="E11" s="0" t="str">
        <f aca="false">IFERROR(__xludf.dummyfunction("""COMPUTED_VALUE"""),"A la fecha no se cuenta con el instructivo de aprovechamiento.")</f>
        <v>A la fecha no se cuenta con el instructivo de aprovechamiento.</v>
      </c>
      <c r="F11" s="0" t="str">
        <f aca="false">IFERROR(__xludf.dummyfunction("""COMPUTED_VALUE"""),"Atrasado")</f>
        <v>Atrasado</v>
      </c>
    </row>
    <row r="12" customFormat="false" ht="14.25" hidden="false" customHeight="false" outlineLevel="0" collapsed="false">
      <c r="A12" s="18" t="str">
        <f aca="false">IFERROR(MID(D12,1,FIND("|",D12)-1)&amp;"-"&amp;C12,"")</f>
        <v>AICI202201-4-2-1</v>
      </c>
      <c r="B12" s="19" t="n">
        <f aca="false">IFERROR(__xludf.dummyfunction("""COMPUTED_VALUE"""),44750)</f>
        <v>44750</v>
      </c>
      <c r="C12" s="0" t="n">
        <f aca="false">IFERROR(__xludf.dummyfunction("""COMPUTED_VALUE"""),1)</f>
        <v>1</v>
      </c>
      <c r="D12" s="0" t="str">
        <f aca="false">IFERROR(__xludf.dummyfunction("""COMPUTED_VALUE"""),"AICI202201-4-2| Relacionar en los formatos y/o actas de baja el software preinstalado de los equipos incluyendo imagen del equipo y la licencia. (01/04/2022 - 31/12/2022)")</f>
        <v>AICI202201-4-2| Relacionar en los formatos y/o actas de baja el software preinstalado de los equipos incluyendo imagen del equipo y la licencia. (01/04/2022 - 31/12/2022)</v>
      </c>
      <c r="E12" s="0" t="str">
        <f aca="false">IFERROR(__xludf.dummyfunction("""COMPUTED_VALUE"""),"Se evidencia el registro en las actas de los equipos de baja la licencia y la imagen del equipo.")</f>
        <v>Se evidencia el registro en las actas de los equipos de baja la licencia y la imagen del equipo.</v>
      </c>
      <c r="F12" s="0" t="str">
        <f aca="false">IFERROR(__xludf.dummyfunction("""COMPUTED_VALUE"""),"Completo")</f>
        <v>Completo</v>
      </c>
      <c r="G12" s="0" t="str">
        <f aca="false">IFERROR(__xludf.dummyfunction("""COMPUTED_VALUE"""),"Sí")</f>
        <v>Sí</v>
      </c>
    </row>
    <row r="13" customFormat="false" ht="14.25" hidden="false" customHeight="false" outlineLevel="0" collapsed="false">
      <c r="A13" s="18" t="str">
        <f aca="false">IFERROR(MID(D13,1,FIND("|",D13)-1)&amp;"-"&amp;C13,"")</f>
        <v>AICI202201-5-1-1</v>
      </c>
      <c r="B13" s="19" t="n">
        <f aca="false">IFERROR(__xludf.dummyfunction("""COMPUTED_VALUE"""),44750)</f>
        <v>44750</v>
      </c>
      <c r="C13" s="0" t="n">
        <f aca="false">IFERROR(__xludf.dummyfunction("""COMPUTED_VALUE"""),1)</f>
        <v>1</v>
      </c>
      <c r="D13" s="0" t="str">
        <f aca="false">IFERROR(__xludf.dummyfunction("""COMPUTED_VALUE"""),"AICI202201-5-1| Actualizar el documento PLAN DE DISPOSICION FINAL DE RESIDUOS TECNOLOGICOS DE TI - RAEE y alinearlo con el INSTRUCTIVO BAJA DE BIENES EN PROPIEDAD PLANTA Y EQUIPO (01/04/2022 - 30/06/2022)")</f>
        <v>AICI202201-5-1| Actualizar el documento PLAN DE DISPOSICION FINAL DE RESIDUOS TECNOLOGICOS DE TI - RAEE y alinearlo con el INSTRUCTIVO BAJA DE BIENES EN PROPIEDAD PLANTA Y EQUIPO (01/04/2022 - 30/06/2022)</v>
      </c>
      <c r="E13" s="0" t="str">
        <f aca="false">IFERROR(__xludf.dummyfunction("""COMPUTED_VALUE"""),"Se realizo la actualización del documento de RAEES está pendiente la normalización")</f>
        <v>Se realizo la actualización del documento de RAEES está pendiente la normalización</v>
      </c>
      <c r="F13" s="0" t="str">
        <f aca="false">IFERROR(__xludf.dummyfunction("""COMPUTED_VALUE"""),"Atrasado")</f>
        <v>Atrasado</v>
      </c>
    </row>
    <row r="14" customFormat="false" ht="14.25" hidden="false" customHeight="false" outlineLevel="0" collapsed="false">
      <c r="A14" s="18" t="str">
        <f aca="false">IFERROR(MID(D14,1,FIND("|",D14)-1)&amp;"-"&amp;C14,"")</f>
        <v>AICI202201-6-1-1</v>
      </c>
      <c r="B14" s="19" t="n">
        <f aca="false">IFERROR(__xludf.dummyfunction("""COMPUTED_VALUE"""),44750)</f>
        <v>44750</v>
      </c>
      <c r="C14" s="0" t="n">
        <f aca="false">IFERROR(__xludf.dummyfunction("""COMPUTED_VALUE"""),1)</f>
        <v>1</v>
      </c>
      <c r="D14" s="0" t="str">
        <f aca="false">IFERROR(__xludf.dummyfunction("""COMPUTED_VALUE"""),"AICI202201-6-1| Adoptar y aplicar el INSTRUCTIVO BAJA DE BIENES EN PROPIEDAD PLANTA Y EQUIPO  código AP-AT-I-04-01. (01/04/2022 - 30/06/2022)")</f>
        <v>AICI202201-6-1| Adoptar y aplicar el INSTRUCTIVO BAJA DE BIENES EN PROPIEDAD PLANTA Y EQUIPO  código AP-AT-I-04-01. (01/04/2022 - 30/06/2022)</v>
      </c>
      <c r="E14" s="0" t="str">
        <f aca="false">IFERROR(__xludf.dummyfunction("""COMPUTED_VALUE"""),"Se realizo la actualización del documento de RAEES está pendiente la normalización")</f>
        <v>Se realizo la actualización del documento de RAEES está pendiente la normalización</v>
      </c>
      <c r="F14" s="0" t="str">
        <f aca="false">IFERROR(__xludf.dummyfunction("""COMPUTED_VALUE"""),"Atrasado")</f>
        <v>Atrasado</v>
      </c>
    </row>
    <row r="15" customFormat="false" ht="14.25" hidden="false" customHeight="false" outlineLevel="0" collapsed="false">
      <c r="A15" s="18" t="str">
        <f aca="false">IFERROR(MID(D15,1,FIND("|",D15)-1)&amp;"-"&amp;C15,"")</f>
        <v>AICI202201-7-1-1</v>
      </c>
      <c r="B15" s="19" t="n">
        <f aca="false">IFERROR(__xludf.dummyfunction("""COMPUTED_VALUE"""),44750)</f>
        <v>44750</v>
      </c>
      <c r="C15" s="0" t="n">
        <f aca="false">IFERROR(__xludf.dummyfunction("""COMPUTED_VALUE"""),1)</f>
        <v>1</v>
      </c>
      <c r="D15" s="0" t="str">
        <f aca="false">IFERROR(__xludf.dummyfunction("""COMPUTED_VALUE"""),"AICI202201-7-1| Actualizar y socializar el documento Uso recursos tecnológicos, el cual incluya una política de derechos de autor y uso legal de software. (01/04/2022 - 30/06/2022)")</f>
        <v>AICI202201-7-1| Actualizar y socializar el documento Uso recursos tecnológicos, el cual incluya una política de derechos de autor y uso legal de software. (01/04/2022 - 30/06/2022)</v>
      </c>
      <c r="E15" s="0" t="str">
        <f aca="false">IFERROR(__xludf.dummyfunction("""COMPUTED_VALUE"""),"No se evidencia la actualización del documento con la política sobre derechos de autor y uso legal de software.  ")</f>
        <v>No se evidencia la actualización del documento con la política sobre derechos de autor y uso legal de software.  </v>
      </c>
      <c r="F15" s="0" t="str">
        <f aca="false">IFERROR(__xludf.dummyfunction("""COMPUTED_VALUE"""),"Atrasado")</f>
        <v>Atrasado</v>
      </c>
    </row>
    <row r="16" customFormat="false" ht="14.25" hidden="false" customHeight="false" outlineLevel="0" collapsed="false">
      <c r="A16" s="18" t="str">
        <f aca="false">IFERROR(MID(D16,1,FIND("|",D16)-1)&amp;"-"&amp;C16,"")</f>
        <v>AICI202201-2-1-2</v>
      </c>
      <c r="B16" s="19" t="n">
        <f aca="false">IFERROR(__xludf.dummyfunction("""COMPUTED_VALUE"""),44839)</f>
        <v>44839</v>
      </c>
      <c r="C16" s="0" t="n">
        <f aca="false">IFERROR(__xludf.dummyfunction("""COMPUTED_VALUE"""),2)</f>
        <v>2</v>
      </c>
      <c r="D16" s="0" t="str">
        <f aca="false">IFERROR(__xludf.dummyfunction("""COMPUTED_VALUE"""),"AICI202201-2-1| Adoptar el INSTRUCTIVO BAJA DE BIENES EN PROPIEDAD PLANTA Y EQUIPO (01/04/2022 - 30/04/2022)")</f>
        <v>AICI202201-2-1| Adoptar el INSTRUCTIVO BAJA DE BIENES EN PROPIEDAD PLANTA Y EQUIPO (01/04/2022 - 30/04/2022)</v>
      </c>
      <c r="E16" s="0" t="str">
        <f aca="false">IFERROR(__xludf.dummyfunction("""COMPUTED_VALUE"""),"En el numeral 7.3.5 del instructivo de plan de disposición final de residuos tecnológicos RAEE.  Se evidencia el cumplimiento de la adopción del instructivo")</f>
        <v>En el numeral 7.3.5 del instructivo de plan de disposición final de residuos tecnológicos RAEE.  Se evidencia el cumplimiento de la adopción del instructivo</v>
      </c>
      <c r="F16" s="0" t="str">
        <f aca="false">IFERROR(__xludf.dummyfunction("""COMPUTED_VALUE"""),"Completo")</f>
        <v>Completo</v>
      </c>
      <c r="G16" s="0" t="str">
        <f aca="false">IFERROR(__xludf.dummyfunction("""COMPUTED_VALUE"""),"Sí")</f>
        <v>Sí</v>
      </c>
    </row>
    <row r="17" customFormat="false" ht="14.25" hidden="false" customHeight="false" outlineLevel="0" collapsed="false">
      <c r="A17" s="18" t="str">
        <f aca="false">IFERROR(MID(D17,1,FIND("|",D17)-1)&amp;"-"&amp;C17,"")</f>
        <v>AICI202201-3-1-2</v>
      </c>
      <c r="B17" s="19" t="n">
        <f aca="false">IFERROR(__xludf.dummyfunction("""COMPUTED_VALUE"""),44839)</f>
        <v>44839</v>
      </c>
      <c r="C17" s="0" t="n">
        <f aca="false">IFERROR(__xludf.dummyfunction("""COMPUTED_VALUE"""),2)</f>
        <v>2</v>
      </c>
      <c r="D17" s="0" t="str">
        <f aca="false">IFERROR(__xludf.dummyfunction("""COMPUTED_VALUE"""),"AICI202201-3-1| Solicitar al proveedor de los equipos de computo en modalidad de arrendamiento el estado del licenciamiento del software ... (01/04/2022 - 30/04/2022)")</f>
        <v>AICI202201-3-1| Solicitar al proveedor de los equipos de computo en modalidad de arrendamiento el estado del licenciamiento del software ... (01/04/2022 - 30/04/2022)</v>
      </c>
      <c r="E17" s="0" t="str">
        <f aca="false">IFERROR(__xludf.dummyfunction("""COMPUTED_VALUE"""),"En la certificación por parte del contratista NECSOFT, se evidencia que el software instalado en los equipos de arrendamiento se encuentra debidamente licenciado.")</f>
        <v>En la certificación por parte del contratista NECSOFT, se evidencia que el software instalado en los equipos de arrendamiento se encuentra debidamente licenciado.</v>
      </c>
      <c r="F17" s="0" t="str">
        <f aca="false">IFERROR(__xludf.dummyfunction("""COMPUTED_VALUE"""),"Completo")</f>
        <v>Completo</v>
      </c>
      <c r="G17" s="0" t="str">
        <f aca="false">IFERROR(__xludf.dummyfunction("""COMPUTED_VALUE"""),"Sí")</f>
        <v>Sí</v>
      </c>
    </row>
    <row r="18" customFormat="false" ht="14.25" hidden="false" customHeight="false" outlineLevel="0" collapsed="false">
      <c r="A18" s="18" t="str">
        <f aca="false">IFERROR(MID(D18,1,FIND("|",D18)-1)&amp;"-"&amp;C18,"")</f>
        <v>AICI202201-4-1-2</v>
      </c>
      <c r="B18" s="19" t="n">
        <f aca="false">IFERROR(__xludf.dummyfunction("""COMPUTED_VALUE"""),44839)</f>
        <v>44839</v>
      </c>
      <c r="C18" s="0" t="n">
        <f aca="false">IFERROR(__xludf.dummyfunction("""COMPUTED_VALUE"""),2)</f>
        <v>2</v>
      </c>
      <c r="D18" s="0" t="str">
        <f aca="false">IFERROR(__xludf.dummyfunction("""COMPUTED_VALUE"""),"AICI202201-4-1| Elaborar, publicar y socializar el instructivo de aprovechamiento de las partes de los equipos de computo. (01/05/2022 - 30/06/2022)")</f>
        <v>AICI202201-4-1| Elaborar, publicar y socializar el instructivo de aprovechamiento de las partes de los equipos de computo. (01/05/2022 - 30/06/2022)</v>
      </c>
      <c r="E18" s="0" t="str">
        <f aca="false">IFERROR(__xludf.dummyfunction("""COMPUTED_VALUE"""),"En el numeral 7.3.6 del instructivo de plan de disposición final de residuos tecnológicos RAEE.  Se evidencia la guía de aprovechamiento de las partes de equipos de computo.")</f>
        <v>En el numeral 7.3.6 del instructivo de plan de disposición final de residuos tecnológicos RAEE.  Se evidencia la guía de aprovechamiento de las partes de equipos de computo.</v>
      </c>
      <c r="F18" s="0" t="str">
        <f aca="false">IFERROR(__xludf.dummyfunction("""COMPUTED_VALUE"""),"Completo")</f>
        <v>Completo</v>
      </c>
      <c r="G18" s="0" t="str">
        <f aca="false">IFERROR(__xludf.dummyfunction("""COMPUTED_VALUE"""),"Sí")</f>
        <v>Sí</v>
      </c>
    </row>
    <row r="19" customFormat="false" ht="14.25" hidden="false" customHeight="false" outlineLevel="0" collapsed="false">
      <c r="A19" s="18" t="str">
        <f aca="false">IFERROR(MID(D19,1,FIND("|",D19)-1)&amp;"-"&amp;C19,"")</f>
        <v>AICI202201-5-1-2</v>
      </c>
      <c r="B19" s="19" t="n">
        <f aca="false">IFERROR(__xludf.dummyfunction("""COMPUTED_VALUE"""),44839)</f>
        <v>44839</v>
      </c>
      <c r="C19" s="0" t="n">
        <f aca="false">IFERROR(__xludf.dummyfunction("""COMPUTED_VALUE"""),2)</f>
        <v>2</v>
      </c>
      <c r="D19" s="0" t="str">
        <f aca="false">IFERROR(__xludf.dummyfunction("""COMPUTED_VALUE"""),"AICI202201-5-1| Actualizar el documento PLAN DE DISPOSICION FINAL DE RESIDUOS TECNOLOGICOS DE TI - RAEE y alinearlo con el INSTRUCTIVO BAJA DE BIENES EN PROPIEDAD PLANTA Y EQUIPO (01/04/2022 - 30/06/2022)")</f>
        <v>AICI202201-5-1| Actualizar el documento PLAN DE DISPOSICION FINAL DE RESIDUOS TECNOLOGICOS DE TI - RAEE y alinearlo con el INSTRUCTIVO BAJA DE BIENES EN PROPIEDAD PLANTA Y EQUIPO (01/04/2022 - 30/06/2022)</v>
      </c>
      <c r="E19" s="0" t="str">
        <f aca="false">IFERROR(__xludf.dummyfunction("""COMPUTED_VALUE"""),"Se evidencia la actualización del documento plan de disposición final de residuos tecnológicos de TI RAEE.  También se evidencia la solicitud de normalización al área de calidad.")</f>
        <v>Se evidencia la actualización del documento plan de disposición final de residuos tecnológicos de TI RAEE.  También se evidencia la solicitud de normalización al área de calidad.</v>
      </c>
      <c r="F19" s="0" t="str">
        <f aca="false">IFERROR(__xludf.dummyfunction("""COMPUTED_VALUE"""),"Completo")</f>
        <v>Completo</v>
      </c>
      <c r="G19" s="0" t="str">
        <f aca="false">IFERROR(__xludf.dummyfunction("""COMPUTED_VALUE"""),"Sí")</f>
        <v>Sí</v>
      </c>
    </row>
    <row r="20" customFormat="false" ht="14.25" hidden="false" customHeight="false" outlineLevel="0" collapsed="false">
      <c r="A20" s="18" t="str">
        <f aca="false">IFERROR(MID(D20,1,FIND("|",D20)-1)&amp;"-"&amp;C20,"")</f>
        <v>AICI202201-6-1-2</v>
      </c>
      <c r="B20" s="19" t="n">
        <f aca="false">IFERROR(__xludf.dummyfunction("""COMPUTED_VALUE"""),44839)</f>
        <v>44839</v>
      </c>
      <c r="C20" s="0" t="n">
        <f aca="false">IFERROR(__xludf.dummyfunction("""COMPUTED_VALUE"""),2)</f>
        <v>2</v>
      </c>
      <c r="D20" s="0" t="str">
        <f aca="false">IFERROR(__xludf.dummyfunction("""COMPUTED_VALUE"""),"AICI202201-6-1| Adoptar y aplicar el INSTRUCTIVO BAJA DE BIENES EN PROPIEDAD PLANTA Y EQUIPO  código AP-AT-I-04-01. (01/04/2022 - 30/06/2022)")</f>
        <v>AICI202201-6-1| Adoptar y aplicar el INSTRUCTIVO BAJA DE BIENES EN PROPIEDAD PLANTA Y EQUIPO  código AP-AT-I-04-01. (01/04/2022 - 30/06/2022)</v>
      </c>
      <c r="E20" s="0" t="str">
        <f aca="false">IFERROR(__xludf.dummyfunction("""COMPUTED_VALUE"""),"En el numeral 7.3.5 del instructivo de plan de disposición final de residuos tecnológicos RAEE.  Se evidencia el cumplimiento de la adopción del instructivo")</f>
        <v>En el numeral 7.3.5 del instructivo de plan de disposición final de residuos tecnológicos RAEE.  Se evidencia el cumplimiento de la adopción del instructivo</v>
      </c>
      <c r="F20" s="0" t="str">
        <f aca="false">IFERROR(__xludf.dummyfunction("""COMPUTED_VALUE"""),"Completo")</f>
        <v>Completo</v>
      </c>
      <c r="G20" s="0" t="str">
        <f aca="false">IFERROR(__xludf.dummyfunction("""COMPUTED_VALUE"""),"Sí")</f>
        <v>Sí</v>
      </c>
    </row>
    <row r="21" customFormat="false" ht="14.25" hidden="false" customHeight="false" outlineLevel="0" collapsed="false">
      <c r="A21" s="18" t="str">
        <f aca="false">IFERROR(MID(D21,1,FIND("|",D21)-1)&amp;"-"&amp;C21,"")</f>
        <v>AICI202201-7-1-2</v>
      </c>
      <c r="B21" s="19" t="n">
        <f aca="false">IFERROR(__xludf.dummyfunction("""COMPUTED_VALUE"""),44839)</f>
        <v>44839</v>
      </c>
      <c r="C21" s="0" t="n">
        <f aca="false">IFERROR(__xludf.dummyfunction("""COMPUTED_VALUE"""),2)</f>
        <v>2</v>
      </c>
      <c r="D21" s="0" t="str">
        <f aca="false">IFERROR(__xludf.dummyfunction("""COMPUTED_VALUE"""),"AICI202201-7-1| Actualizar y socializar el documento Uso recursos tecnológicos, el cual incluya una política de derechos de autor y uso legal de software. (01/04/2022 - 30/06/2022)")</f>
        <v>AICI202201-7-1| Actualizar y socializar el documento Uso recursos tecnológicos, el cual incluya una política de derechos de autor y uso legal de software. (01/04/2022 - 30/06/2022)</v>
      </c>
      <c r="E21" s="0" t="str">
        <f aca="false">IFERROR(__xludf.dummyfunction("""COMPUTED_VALUE"""),"El instructivo de uso de recursos tecnológicos se encuentra en actualización. ")</f>
        <v>El instructivo de uso de recursos tecnológicos se encuentra en actualización. </v>
      </c>
      <c r="F21" s="0" t="str">
        <f aca="false">IFERROR(__xludf.dummyfunction("""COMPUTED_VALUE"""),"Atrasado")</f>
        <v>Atrasado</v>
      </c>
    </row>
    <row r="22" customFormat="false" ht="14.25" hidden="false" customHeight="false" outlineLevel="0" collapsed="false">
      <c r="A22" s="18" t="str">
        <f aca="false">IFERROR(MID(D22,1,FIND("|",D22)-1)&amp;"-"&amp;C22,"")</f>
        <v>AICI202201-1-2-2</v>
      </c>
      <c r="B22" s="19" t="n">
        <f aca="false">IFERROR(__xludf.dummyfunction("""COMPUTED_VALUE"""),44839)</f>
        <v>44839</v>
      </c>
      <c r="C22" s="0" t="n">
        <f aca="false">IFERROR(__xludf.dummyfunction("""COMPUTED_VALUE"""),2)</f>
        <v>2</v>
      </c>
      <c r="D22" s="0" t="str">
        <f aca="false">IFERROR(__xludf.dummyfunction("""COMPUTED_VALUE"""),"AICI202201-1-2| Replaquetizar los equipos de computo con placa repetidas. (01/04/2022 - 30/06/2022)")</f>
        <v>AICI202201-1-2| Replaquetizar los equipos de computo con placa repetidas. (01/04/2022 - 30/06/2022)</v>
      </c>
      <c r="E22" s="0" t="str">
        <f aca="false">IFERROR(__xludf.dummyfunction("""COMPUTED_VALUE"""),"Se evidencia la re plaquetización y actualización en el módulo de activos fijos de 16 equipos de computo con placa duplicada.")</f>
        <v>Se evidencia la re plaquetización y actualización en el módulo de activos fijos de 16 equipos de computo con placa duplicada.</v>
      </c>
      <c r="F22" s="0" t="str">
        <f aca="false">IFERROR(__xludf.dummyfunction("""COMPUTED_VALUE"""),"Completo")</f>
        <v>Completo</v>
      </c>
      <c r="G22" s="0" t="str">
        <f aca="false">IFERROR(__xludf.dummyfunction("""COMPUTED_VALUE"""),"Sí")</f>
        <v>Sí</v>
      </c>
    </row>
    <row r="23" customFormat="false" ht="14.25" hidden="false" customHeight="false" outlineLevel="0" collapsed="false">
      <c r="A23" s="18" t="str">
        <f aca="false">IFERROR(MID(D23,1,FIND("|",D23)-1)&amp;"-"&amp;C23,"")</f>
        <v>AICI202201-1-1-2</v>
      </c>
      <c r="B23" s="19" t="n">
        <f aca="false">IFERROR(__xludf.dummyfunction("""COMPUTED_VALUE"""),44839)</f>
        <v>44839</v>
      </c>
      <c r="C23" s="0" t="n">
        <f aca="false">IFERROR(__xludf.dummyfunction("""COMPUTED_VALUE"""),2)</f>
        <v>2</v>
      </c>
      <c r="D23" s="0" t="str">
        <f aca="false">IFERROR(__xludf.dummyfunction("""COMPUTED_VALUE"""),"AICI202201-1-1| Cruzar las bases de datos de activos fijos y sistemas de información incluidas las bajas, para determinar las diferencias especificas. (01/04/2022 - 30/06/2022)")</f>
        <v>AICI202201-1-1| Cruzar las bases de datos de activos fijos y sistemas de información incluidas las bajas, para determinar las diferencias especificas. (01/04/2022 - 30/06/2022)</v>
      </c>
      <c r="E23" s="0" t="str">
        <f aca="false">IFERROR(__xludf.dummyfunction("""COMPUTED_VALUE"""),"Se evidencia que se está ejecutando la acción con un porcentaje de avance del 17%")</f>
        <v>Se evidencia que se está ejecutando la acción con un porcentaje de avance del 17%</v>
      </c>
      <c r="F23" s="0" t="str">
        <f aca="false">IFERROR(__xludf.dummyfunction("""COMPUTED_VALUE"""),"Atrasado")</f>
        <v>Atrasado</v>
      </c>
    </row>
    <row r="24" customFormat="false" ht="14.25" hidden="false" customHeight="false" outlineLevel="0" collapsed="false">
      <c r="A24" s="18" t="str">
        <f aca="false">IFERROR(MID(D24,1,FIND("|",D24)-1)&amp;"-"&amp;C24,"")</f>
        <v>AICI202201-1-3-2</v>
      </c>
      <c r="B24" s="19" t="n">
        <f aca="false">IFERROR(__xludf.dummyfunction("""COMPUTED_VALUE"""),44839)</f>
        <v>44839</v>
      </c>
      <c r="C24" s="0" t="n">
        <f aca="false">IFERROR(__xludf.dummyfunction("""COMPUTED_VALUE"""),2)</f>
        <v>2</v>
      </c>
      <c r="D24" s="0" t="str">
        <f aca="false">IFERROR(__xludf.dummyfunction("""COMPUTED_VALUE"""),"AICI202201-1-3| Elaborar acto administrativo de baja y actualización en el sistema de información, de acuerdo a INSTRUCTIVO BAJA DE BIENES EN ... (01/07/2022 - 31/07/2022)")</f>
        <v>AICI202201-1-3| Elaborar acto administrativo de baja y actualización en el sistema de información, de acuerdo a INSTRUCTIVO BAJA DE BIENES EN ... (01/07/2022 - 31/07/2022)</v>
      </c>
      <c r="E24" s="0" t="str">
        <f aca="false">IFERROR(__xludf.dummyfunction("""COMPUTED_VALUE"""),"Se evidencia en acta de fecha de 3 de mayo de 2022 la entrega de elementos tecnológicos al proceso de activos fijos para la ejecución de las bajas.  Durante el tercer trimestre de la vigencia se han presentado propuestas al comité de activos fijos, sin em"&amp;"bargo estas no han sido aprobadas.")</f>
        <v>Se evidencia en acta de fecha de 3 de mayo de 2022 la entrega de elementos tecnológicos al proceso de activos fijos para la ejecución de las bajas.  Durante el tercer trimestre de la vigencia se han presentado propuestas al comité de activos fijos, sin embargo estas no han sido aprobadas.</v>
      </c>
      <c r="F24" s="0" t="str">
        <f aca="false">IFERROR(__xludf.dummyfunction("""COMPUTED_VALUE"""),"En desarrollo")</f>
        <v>En desarrollo</v>
      </c>
      <c r="G24" s="0" t="str">
        <f aca="false">IFERROR(__xludf.dummyfunction("""COMPUTED_VALUE"""),"Sí")</f>
        <v>Sí</v>
      </c>
    </row>
    <row r="25" customFormat="false" ht="14.25" hidden="false" customHeight="false" outlineLevel="0" collapsed="false">
      <c r="A25" s="18" t="str">
        <f aca="false">IFERROR(MID(D25,1,FIND("|",D25)-1)&amp;"-"&amp;C25,"")</f>
        <v>AICI202201-2-3-2</v>
      </c>
      <c r="B25" s="19" t="n">
        <f aca="false">IFERROR(__xludf.dummyfunction("""COMPUTED_VALUE"""),44839)</f>
        <v>44839</v>
      </c>
      <c r="C25" s="0" t="n">
        <f aca="false">IFERROR(__xludf.dummyfunction("""COMPUTED_VALUE"""),2)</f>
        <v>2</v>
      </c>
      <c r="D25" s="0" t="str">
        <f aca="false">IFERROR(__xludf.dummyfunction("""COMPUTED_VALUE"""),"AICI202201-2-3| Revisar y conciliar periódica la relación de equipos para baja previo al comité de inventarios entre activos fijos y sistemas. (01/04/2022 - 31/12/2022)")</f>
        <v>AICI202201-2-3| Revisar y conciliar periódica la relación de equipos para baja previo al comité de inventarios entre activos fijos y sistemas. (01/04/2022 - 31/12/2022)</v>
      </c>
      <c r="E25" s="0" t="str">
        <f aca="false">IFERROR(__xludf.dummyfunction("""COMPUTED_VALUE"""),"Se evidencia la ejecución de la conciliación de sobre la relación de equipos para baja previo al comité de inventarios entre activos fijos y sistemas.")</f>
        <v>Se evidencia la ejecución de la conciliación de sobre la relación de equipos para baja previo al comité de inventarios entre activos fijos y sistemas.</v>
      </c>
      <c r="F25" s="0" t="str">
        <f aca="false">IFERROR(__xludf.dummyfunction("""COMPUTED_VALUE"""),"Completo")</f>
        <v>Completo</v>
      </c>
      <c r="G25" s="0" t="str">
        <f aca="false">IFERROR(__xludf.dummyfunction("""COMPUTED_VALUE"""),"Sí")</f>
        <v>Sí</v>
      </c>
    </row>
    <row r="26" customFormat="false" ht="14.25" hidden="false" customHeight="false" outlineLevel="0" collapsed="false">
      <c r="A26" s="18" t="str">
        <f aca="false">IFERROR(MID(D26,1,FIND("|",D26)-1)&amp;"-"&amp;C26,"")</f>
        <v>AICI202201-7-1-3</v>
      </c>
      <c r="B26" s="19" t="n">
        <f aca="false">IFERROR(__xludf.dummyfunction("""COMPUTED_VALUE"""),44936)</f>
        <v>44936</v>
      </c>
      <c r="C26" s="0" t="n">
        <f aca="false">IFERROR(__xludf.dummyfunction("""COMPUTED_VALUE"""),3)</f>
        <v>3</v>
      </c>
      <c r="D26" s="0" t="str">
        <f aca="false">IFERROR(__xludf.dummyfunction("""COMPUTED_VALUE"""),"AICI202201-7-1| Actualizar y socializar el documento Uso recursos tecnológicos, el cual incluya una política de derechos de autor y uso legal de software. (01/04/2022 - 30/06/2022)")</f>
        <v>AICI202201-7-1| Actualizar y socializar el documento Uso recursos tecnológicos, el cual incluya una política de derechos de autor y uso legal de software. (01/04/2022 - 30/06/2022)</v>
      </c>
      <c r="E26" s="0" t="str">
        <f aca="false">IFERROR(__xludf.dummyfunction("""COMPUTED_VALUE"""),"En el documento denominado instructivo de uso de recursos tecnológicos, se encuentra la política de derechos de autor y uso legal de software.  Pendiente aprobación y socialización.  ")</f>
        <v>En el documento denominado instructivo de uso de recursos tecnológicos, se encuentra la política de derechos de autor y uso legal de software.  Pendiente aprobación y socialización.  </v>
      </c>
      <c r="F26" s="0" t="str">
        <f aca="false">IFERROR(__xludf.dummyfunction("""COMPUTED_VALUE"""),"Atrasado")</f>
        <v>Atrasado</v>
      </c>
    </row>
    <row r="27" customFormat="false" ht="14.25" hidden="false" customHeight="false" outlineLevel="0" collapsed="false">
      <c r="A27" s="18" t="str">
        <f aca="false">IFERROR(MID(D27,1,FIND("|",D27)-1)&amp;"-"&amp;C27,"")</f>
        <v>AICI202201-1-1-3</v>
      </c>
      <c r="B27" s="19" t="n">
        <f aca="false">IFERROR(__xludf.dummyfunction("""COMPUTED_VALUE"""),44936)</f>
        <v>44936</v>
      </c>
      <c r="C27" s="0" t="n">
        <f aca="false">IFERROR(__xludf.dummyfunction("""COMPUTED_VALUE"""),3)</f>
        <v>3</v>
      </c>
      <c r="D27" s="0" t="str">
        <f aca="false">IFERROR(__xludf.dummyfunction("""COMPUTED_VALUE"""),"AICI202201-1-1| Cruzar las bases de datos de activos fijos y sistemas de información incluidas las bajas, para determinar las diferencias especificas. (01/04/2022 - 30/06/2022)")</f>
        <v>AICI202201-1-1| Cruzar las bases de datos de activos fijos y sistemas de información incluidas las bajas, para determinar las diferencias especificas. (01/04/2022 - 30/06/2022)</v>
      </c>
      <c r="E27" s="0" t="str">
        <f aca="false">IFERROR(__xludf.dummyfunction("""COMPUTED_VALUE"""),"Se evidencia un archivo en formato de hoja de calculo con 2168 registros clasificados de la siguiente manera:  372 equipos que no se encuentran en el modulo de activos fijos; al revisar contra un listado actualizado del sistema se encuentra una diferencia"&amp;" de 500 equipos de computo mas los 372 no encontrados dentro del listado del sistema. ")</f>
        <v>Se evidencia un archivo en formato de hoja de calculo con 2168 registros clasificados de la siguiente manera:  372 equipos que no se encuentran en el modulo de activos fijos; al revisar contra un listado actualizado del sistema se encuentra una diferencia de 500 equipos de computo mas los 372 no encontrados dentro del listado del sistema. </v>
      </c>
      <c r="F27" s="0" t="str">
        <f aca="false">IFERROR(__xludf.dummyfunction("""COMPUTED_VALUE"""),"Atrasado")</f>
        <v>Atrasado</v>
      </c>
    </row>
    <row r="28" customFormat="false" ht="14.25" hidden="false" customHeight="false" outlineLevel="0" collapsed="false">
      <c r="A28" s="18" t="str">
        <f aca="false">IFERROR(MID(D28,1,FIND("|",D28)-1)&amp;"-"&amp;C28,"")</f>
        <v>AICI202201-1-3-3</v>
      </c>
      <c r="B28" s="19" t="n">
        <f aca="false">IFERROR(__xludf.dummyfunction("""COMPUTED_VALUE"""),44936)</f>
        <v>44936</v>
      </c>
      <c r="C28" s="0" t="n">
        <f aca="false">IFERROR(__xludf.dummyfunction("""COMPUTED_VALUE"""),3)</f>
        <v>3</v>
      </c>
      <c r="D28" s="0" t="str">
        <f aca="false">IFERROR(__xludf.dummyfunction("""COMPUTED_VALUE"""),"AICI202201-1-3| Elaborar acto administrativo de baja y actualización en el sistema de información, de acuerdo a INSTRUCTIVO BAJA DE BIENES EN ... (01/07/2022 - 31/07/2022)")</f>
        <v>AICI202201-1-3| Elaborar acto administrativo de baja y actualización en el sistema de información, de acuerdo a INSTRUCTIVO BAJA DE BIENES EN ... (01/07/2022 - 31/07/2022)</v>
      </c>
      <c r="E28" s="0" t="str">
        <f aca="false">IFERROR(__xludf.dummyfunction("""COMPUTED_VALUE"""),"Durante el cuarto trimestre de 2022 la Oficina Tics ha dado el concepto de baja a xx equipos de computo.  Pendiente entrega a activos fijos por falta de espacios de almacenamiento.
Durante el cuarto trimestre de la vigencia 2022 el proceso de activos fijo"&amp;"s no presentó propuestas de baja de equipos de computo al comité de activos fijos.")</f>
        <v>Durante el cuarto trimestre de 2022 la Oficina Tics ha dado el concepto de baja a xx equipos de computo.  Pendiente entrega a activos fijos por falta de espacios de almacenamiento.
Durante el cuarto trimestre de la vigencia 2022 el proceso de activos fijos no presentó propuestas de baja de equipos de computo al comité de activos fijos.</v>
      </c>
      <c r="F28" s="0" t="str">
        <f aca="false">IFERROR(__xludf.dummyfunction("""COMPUTED_VALUE"""),"Atrasado")</f>
        <v>Atrasado</v>
      </c>
    </row>
    <row r="29" customFormat="false" ht="14.25" hidden="false" customHeight="false" outlineLevel="0" collapsed="false">
      <c r="A29" s="18" t="str">
        <f aca="false">IFERROR(MID(D29,1,FIND("|",D29)-1)&amp;"-"&amp;C29,"")</f>
        <v>AICI202201-7-1-4</v>
      </c>
      <c r="B29" s="19" t="n">
        <f aca="false">IFERROR(__xludf.dummyfunction("""COMPUTED_VALUE"""),45030)</f>
        <v>45030</v>
      </c>
      <c r="C29" s="0" t="n">
        <f aca="false">IFERROR(__xludf.dummyfunction("""COMPUTED_VALUE"""),4)</f>
        <v>4</v>
      </c>
      <c r="D29" s="0" t="str">
        <f aca="false">IFERROR(__xludf.dummyfunction("""COMPUTED_VALUE"""),"AICI202201-7-1| Actualizar y socializar el documento Uso recursos tecnológicos, el cual incluya una política de derechos de autor y uso legal de software. (01/04/2022 - 30/06/2022)")</f>
        <v>AICI202201-7-1| Actualizar y socializar el documento Uso recursos tecnológicos, el cual incluya una política de derechos de autor y uso legal de software. (01/04/2022 - 30/06/2022)</v>
      </c>
      <c r="E29" s="0" t="str">
        <f aca="false">IFERROR(__xludf.dummyfunction("""COMPUTED_VALUE"""),"Se evidencia la actualización del documento ES-GC-F-136-01 Política de Derechos de Autor Versión 2023 ")</f>
        <v>Se evidencia la actualización del documento ES-GC-F-136-01 Política de Derechos de Autor Versión 2023 </v>
      </c>
      <c r="F29" s="0" t="str">
        <f aca="false">IFERROR(__xludf.dummyfunction("""COMPUTED_VALUE"""),"Completo")</f>
        <v>Completo</v>
      </c>
      <c r="G29" s="0" t="str">
        <f aca="false">IFERROR(__xludf.dummyfunction("""COMPUTED_VALUE"""),"Sí")</f>
        <v>Sí</v>
      </c>
    </row>
    <row r="30" customFormat="false" ht="14.25" hidden="false" customHeight="false" outlineLevel="0" collapsed="false">
      <c r="A30" s="18" t="str">
        <f aca="false">IFERROR(MID(D30,1,FIND("|",D30)-1)&amp;"-"&amp;C30,"")</f>
        <v>AICI202201-1-1-4</v>
      </c>
      <c r="B30" s="19" t="n">
        <f aca="false">IFERROR(__xludf.dummyfunction("""COMPUTED_VALUE"""),45030)</f>
        <v>45030</v>
      </c>
      <c r="C30" s="0" t="n">
        <f aca="false">IFERROR(__xludf.dummyfunction("""COMPUTED_VALUE"""),4)</f>
        <v>4</v>
      </c>
      <c r="D30" s="0" t="str">
        <f aca="false">IFERROR(__xludf.dummyfunction("""COMPUTED_VALUE"""),"AICI202201-1-1| Cruzar las bases de datos de activos fijos y sistemas de información incluidas las bajas, para determinar las diferencias especificas. (01/04/2022 - 30/06/2022)")</f>
        <v>AICI202201-1-1| Cruzar las bases de datos de activos fijos y sistemas de información incluidas las bajas, para determinar las diferencias especificas. (01/04/2022 - 30/06/2022)</v>
      </c>
      <c r="E30" s="0" t="str">
        <f aca="false">IFERROR(__xludf.dummyfunction("""COMPUTED_VALUE"""),"Dada la persistencia del hallazgo en el informe de derechos de autor 2022, esta acción fue cerrada en el presente plan y reabierta en el plan de mejora del informe de derechos de autor de la vigencia 2022, con fecha máxima de ejecución al tercer trimestre"&amp;" de 2023.")</f>
        <v>Dada la persistencia del hallazgo en el informe de derechos de autor 2022, esta acción fue cerrada en el presente plan y reabierta en el plan de mejora del informe de derechos de autor de la vigencia 2022, con fecha máxima de ejecución al tercer trimestre de 2023.</v>
      </c>
      <c r="F30" s="0" t="str">
        <f aca="false">IFERROR(__xludf.dummyfunction("""COMPUTED_VALUE"""),"Completo")</f>
        <v>Completo</v>
      </c>
      <c r="G30" s="0" t="str">
        <f aca="false">IFERROR(__xludf.dummyfunction("""COMPUTED_VALUE"""),"No")</f>
        <v>No</v>
      </c>
    </row>
    <row r="31" customFormat="false" ht="14.25" hidden="false" customHeight="false" outlineLevel="0" collapsed="false">
      <c r="A31" s="18" t="str">
        <f aca="false">IFERROR(MID(D31,1,FIND("|",D31)-1)&amp;"-"&amp;C31,"")</f>
        <v>AICI202201-1-3-4</v>
      </c>
      <c r="B31" s="19" t="n">
        <f aca="false">IFERROR(__xludf.dummyfunction("""COMPUTED_VALUE"""),45030)</f>
        <v>45030</v>
      </c>
      <c r="C31" s="0" t="n">
        <f aca="false">IFERROR(__xludf.dummyfunction("""COMPUTED_VALUE"""),4)</f>
        <v>4</v>
      </c>
      <c r="D31" s="0" t="str">
        <f aca="false">IFERROR(__xludf.dummyfunction("""COMPUTED_VALUE"""),"AICI202201-1-3| Elaborar acto administrativo de baja y actualización en el sistema de información, de acuerdo a INSTRUCTIVO BAJA DE BIENES EN ... (01/07/2022 - 31/07/2022)")</f>
        <v>AICI202201-1-3| Elaborar acto administrativo de baja y actualización en el sistema de información, de acuerdo a INSTRUCTIVO BAJA DE BIENES EN ... (01/07/2022 - 31/07/2022)</v>
      </c>
      <c r="E31" s="0" t="str">
        <f aca="false">IFERROR(__xludf.dummyfunction("""COMPUTED_VALUE"""),"Dada la persistencia del hallazgo en el informe de derechos de autor 2022, esta acción fue cerrada en el presente plan y reabierta en el plan de mejora del informe de derechos de autor de la vigencia 2022.")</f>
        <v>Dada la persistencia del hallazgo en el informe de derechos de autor 2022, esta acción fue cerrada en el presente plan y reabierta en el plan de mejora del informe de derechos de autor de la vigencia 2022.</v>
      </c>
      <c r="F31" s="0" t="str">
        <f aca="false">IFERROR(__xludf.dummyfunction("""COMPUTED_VALUE"""),"Completo")</f>
        <v>Completo</v>
      </c>
      <c r="G31" s="0" t="str">
        <f aca="false">IFERROR(__xludf.dummyfunction("""COMPUTED_VALUE"""),"No")</f>
        <v>No</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sheetData>
    <row r="1" customFormat="false" ht="12.75" hidden="false" customHeight="false" outlineLevel="0" collapsed="false">
      <c r="A1" s="13" t="s">
        <v>1801</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AICI202101-1-1-1</v>
      </c>
      <c r="B4" s="19" t="n">
        <f aca="false">IFERROR(__xludf.dummyfunction("""COMPUTED_VALUE"""),44350)</f>
        <v>44350</v>
      </c>
      <c r="C4" s="0" t="n">
        <f aca="false">IFERROR(__xludf.dummyfunction("""COMPUTED_VALUE"""),1)</f>
        <v>1</v>
      </c>
      <c r="D4" s="0" t="str">
        <f aca="false">IFERROR(__xludf.dummyfunction("""COMPUTED_VALUE"""),"AICI202101-1-1| 11. Realizar la solicitud de las fechas de adqusicion de los equipos biomedicos al area de activos fijos (01/05/2021 - 30/06/2021)")</f>
        <v>AICI202101-1-1| 11. Realizar la solicitud de las fechas de adqusicion de los equipos biomedicos al area de activos fijos (01/05/2021 - 30/06/2021)</v>
      </c>
      <c r="E4" s="0" t="str">
        <f aca="false">IFERROR(__xludf.dummyfunction("""COMPUTED_VALUE"""),"Se realiza oficio al área de activos fijos con solicitud de fechas de adquisición de los equipos biomédicos.")</f>
        <v>Se realiza oficio al área de activos fijos con solicitud de fechas de adquisición de los equipos biomédicos.</v>
      </c>
      <c r="F4" s="0" t="str">
        <f aca="false">IFERROR(__xludf.dummyfunction("""COMPUTED_VALUE"""),"Completo")</f>
        <v>Completo</v>
      </c>
      <c r="G4" s="20" t="str">
        <f aca="false">IFERROR(__xludf.dummyfunction("""COMPUTED_VALUE"""),"https://drive.google.com/open?id=1mjN0oLnNK0WAVejUKztGpNMaTQ-GUiDD")</f>
        <v>https://drive.google.com/open?id=1mjN0oLnNK0WAVejUKztGpNMaTQ-GUiDD</v>
      </c>
    </row>
    <row r="5" customFormat="false" ht="14.25" hidden="false" customHeight="false" outlineLevel="0" collapsed="false">
      <c r="A5" s="18" t="str">
        <f aca="false">IFERROR(MID(D5,1,FIND("|",D5)-1)&amp;"-"&amp;C5,"")</f>
        <v>AICI202101-1-2-1</v>
      </c>
      <c r="B5" s="19" t="n">
        <f aca="false">IFERROR(__xludf.dummyfunction("""COMPUTED_VALUE"""),44350)</f>
        <v>44350</v>
      </c>
      <c r="C5" s="0" t="n">
        <f aca="false">IFERROR(__xludf.dummyfunction("""COMPUTED_VALUE"""),1)</f>
        <v>1</v>
      </c>
      <c r="D5" s="0" t="str">
        <f aca="false">IFERROR(__xludf.dummyfunction("""COMPUTED_VALUE"""),"AICI202101-1-2| 12. Actualizar las fechas de adqusicion y vida util en el formato de hoja de vida con codigo AP-AT-F-06-02 (01/07/2021 - 15/11/2021)")</f>
        <v>AICI202101-1-2| 12. Actualizar las fechas de adqusicion y vida util en el formato de hoja de vida con codigo AP-AT-F-06-02 (01/07/2021 - 15/11/2021)</v>
      </c>
      <c r="E5" s="0" t="str">
        <f aca="false">IFERROR(__xludf.dummyfunction("""COMPUTED_VALUE"""),"Acción no iniciada")</f>
        <v>Acción no iniciada</v>
      </c>
      <c r="F5" s="0" t="str">
        <f aca="false">IFERROR(__xludf.dummyfunction("""COMPUTED_VALUE"""),"No iniciado")</f>
        <v>No iniciado</v>
      </c>
    </row>
    <row r="6" customFormat="false" ht="14.25" hidden="false" customHeight="false" outlineLevel="0" collapsed="false">
      <c r="A6" s="18" t="str">
        <f aca="false">IFERROR(MID(D6,1,FIND("|",D6)-1)&amp;"-"&amp;C6,"")</f>
        <v>AICI202101-1-3-1</v>
      </c>
      <c r="B6" s="19" t="n">
        <f aca="false">IFERROR(__xludf.dummyfunction("""COMPUTED_VALUE"""),44350)</f>
        <v>44350</v>
      </c>
      <c r="C6" s="0" t="n">
        <f aca="false">IFERROR(__xludf.dummyfunction("""COMPUTED_VALUE"""),1)</f>
        <v>1</v>
      </c>
      <c r="D6" s="0" t="str">
        <f aca="false">IFERROR(__xludf.dummyfunction("""COMPUTED_VALUE"""),"AICI202101-1-3| 13. Imprimir y archivar los formatos de hoja de vida con codigo AP. AT-F-06.02, en la hojas de vida fisicas (16/11/2021 - 31/12/2021)")</f>
        <v>AICI202101-1-3| 13. Imprimir y archivar los formatos de hoja de vida con codigo AP. AT-F-06.02, en la hojas de vida fisicas (16/11/2021 - 31/12/2021)</v>
      </c>
      <c r="E6" s="0" t="str">
        <f aca="false">IFERROR(__xludf.dummyfunction("""COMPUTED_VALUE"""),"Acción no iniciada")</f>
        <v>Acción no iniciada</v>
      </c>
      <c r="F6" s="0" t="str">
        <f aca="false">IFERROR(__xludf.dummyfunction("""COMPUTED_VALUE"""),"No iniciado")</f>
        <v>No iniciado</v>
      </c>
    </row>
    <row r="7" customFormat="false" ht="14.25" hidden="false" customHeight="false" outlineLevel="0" collapsed="false">
      <c r="A7" s="18" t="str">
        <f aca="false">IFERROR(MID(D7,1,FIND("|",D7)-1)&amp;"-"&amp;C7,"")</f>
        <v>AICI202101-2-1-1</v>
      </c>
      <c r="B7" s="19" t="n">
        <f aca="false">IFERROR(__xludf.dummyfunction("""COMPUTED_VALUE"""),44350)</f>
        <v>44350</v>
      </c>
      <c r="C7" s="0" t="n">
        <f aca="false">IFERROR(__xludf.dummyfunction("""COMPUTED_VALUE"""),1)</f>
        <v>1</v>
      </c>
      <c r="D7" s="0" t="str">
        <f aca="false">IFERROR(__xludf.dummyfunction("""COMPUTED_VALUE"""),"AICI202101-2-1| 21. Realizar envio de inventarios actualizado por parte de ingenieria biomedica al area de activos fijos para actualizacion de placas y seriales de los equipos biomedicos en la plaforma utilizada para control de los activos (01/01/2021 - 3"&amp;"0/06/2021)")</f>
        <v>AICI202101-2-1| 21. Realizar envio de inventarios actualizado por parte de ingenieria biomedica al area de activos fijos para actualizacion de placas y seriales de los equipos biomedicos en la plaforma utilizada para control de los activos (01/01/2021 - 30/06/2021)</v>
      </c>
      <c r="E7" s="0" t="str">
        <f aca="false">IFERROR(__xludf.dummyfunction("""COMPUTED_VALUE"""),"Acción no iniciada")</f>
        <v>Acción no iniciada</v>
      </c>
      <c r="F7" s="0" t="str">
        <f aca="false">IFERROR(__xludf.dummyfunction("""COMPUTED_VALUE"""),"En desarrollo")</f>
        <v>En desarrollo</v>
      </c>
    </row>
    <row r="8" customFormat="false" ht="14.25" hidden="false" customHeight="false" outlineLevel="0" collapsed="false">
      <c r="A8" s="18" t="str">
        <f aca="false">IFERROR(MID(D8,1,FIND("|",D8)-1)&amp;"-"&amp;C8,"")</f>
        <v>AICI202101-2-2-1</v>
      </c>
      <c r="B8" s="19" t="n">
        <f aca="false">IFERROR(__xludf.dummyfunction("""COMPUTED_VALUE"""),44350)</f>
        <v>44350</v>
      </c>
      <c r="C8" s="0" t="n">
        <f aca="false">IFERROR(__xludf.dummyfunction("""COMPUTED_VALUE"""),1)</f>
        <v>1</v>
      </c>
      <c r="D8" s="0" t="str">
        <f aca="false">IFERROR(__xludf.dummyfunction("""COMPUTED_VALUE"""),"AICI202101-2-2| 22. Actualizar el modulo de activos fijos con la informacion (01/07/2021 - 31/12/2021)")</f>
        <v>AICI202101-2-2| 22. Actualizar el modulo de activos fijos con la informacion (01/07/2021 - 31/12/2021)</v>
      </c>
      <c r="E8" s="0" t="str">
        <f aca="false">IFERROR(__xludf.dummyfunction("""COMPUTED_VALUE"""),"Acción no iniciada")</f>
        <v>Acción no iniciada</v>
      </c>
      <c r="F8" s="0" t="str">
        <f aca="false">IFERROR(__xludf.dummyfunction("""COMPUTED_VALUE"""),"No iniciado")</f>
        <v>No iniciado</v>
      </c>
    </row>
    <row r="9" customFormat="false" ht="14.25" hidden="false" customHeight="false" outlineLevel="0" collapsed="false">
      <c r="A9" s="18" t="str">
        <f aca="false">IFERROR(MID(D9,1,FIND("|",D9)-1)&amp;"-"&amp;C9,"")</f>
        <v>AICI202101-2-1-1</v>
      </c>
      <c r="B9" s="19" t="n">
        <f aca="false">IFERROR(__xludf.dummyfunction("""COMPUTED_VALUE"""),44350)</f>
        <v>44350</v>
      </c>
      <c r="C9" s="0" t="n">
        <f aca="false">IFERROR(__xludf.dummyfunction("""COMPUTED_VALUE"""),1)</f>
        <v>1</v>
      </c>
      <c r="D9" s="0" t="str">
        <f aca="false">IFERROR(__xludf.dummyfunction("""COMPUTED_VALUE"""),"AICI202101-2-1| 21. Realizar envio de inventarios actualizado por parte de ingenieria biomedica al area de activos fijos para actualizacion de placas y seriales de los equipos biomedicos en la plaforma utilizada para control de los activos (01/01/2021 - 3"&amp;"0/06/2021)")</f>
        <v>AICI202101-2-1| 21. Realizar envio de inventarios actualizado por parte de ingenieria biomedica al area de activos fijos para actualizacion de placas y seriales de los equipos biomedicos en la plaforma utilizada para control de los activos (01/01/2021 - 30/06/2021)</v>
      </c>
      <c r="E9" s="0" t="str">
        <f aca="false">IFERROR(__xludf.dummyfunction("""COMPUTED_VALUE"""),"En Desarrollo")</f>
        <v>En Desarrollo</v>
      </c>
      <c r="F9" s="0" t="str">
        <f aca="false">IFERROR(__xludf.dummyfunction("""COMPUTED_VALUE"""),"En desarrollo")</f>
        <v>En desarrollo</v>
      </c>
    </row>
    <row r="10" customFormat="false" ht="14.25" hidden="false" customHeight="false" outlineLevel="0" collapsed="false">
      <c r="A10" s="18" t="str">
        <f aca="false">IFERROR(MID(D10,1,FIND("|",D10)-1)&amp;"-"&amp;C10,"")</f>
        <v>AICI202101-4-1-1</v>
      </c>
      <c r="B10" s="19" t="n">
        <f aca="false">IFERROR(__xludf.dummyfunction("""COMPUTED_VALUE"""),44350)</f>
        <v>44350</v>
      </c>
      <c r="C10" s="0" t="n">
        <f aca="false">IFERROR(__xludf.dummyfunction("""COMPUTED_VALUE"""),1)</f>
        <v>1</v>
      </c>
      <c r="D10" s="0" t="str">
        <f aca="false">IFERROR(__xludf.dummyfunction("""COMPUTED_VALUE"""),"AICI202101-4-1| 41. Realizar la verificacion de los espacios establecidos en los laboratorios de ingenieria biomedica (01/06/2021 - 30/06/2021)")</f>
        <v>AICI202101-4-1| 41. Realizar la verificacion de los espacios establecidos en los laboratorios de ingenieria biomedica (01/06/2021 - 30/06/2021)</v>
      </c>
      <c r="E10" s="0" t="str">
        <f aca="false">IFERROR(__xludf.dummyfunction("""COMPUTED_VALUE"""),"Acción no iniciada")</f>
        <v>Acción no iniciada</v>
      </c>
      <c r="F10" s="0" t="str">
        <f aca="false">IFERROR(__xludf.dummyfunction("""COMPUTED_VALUE"""),"No iniciado")</f>
        <v>No iniciado</v>
      </c>
    </row>
    <row r="11" customFormat="false" ht="14.25" hidden="false" customHeight="false" outlineLevel="0" collapsed="false">
      <c r="A11" s="18" t="str">
        <f aca="false">IFERROR(MID(D11,1,FIND("|",D11)-1)&amp;"-"&amp;C11,"")</f>
        <v>AICI202101-4-1-1</v>
      </c>
      <c r="B11" s="19" t="n">
        <f aca="false">IFERROR(__xludf.dummyfunction("""COMPUTED_VALUE"""),44350)</f>
        <v>44350</v>
      </c>
      <c r="C11" s="0" t="n">
        <f aca="false">IFERROR(__xludf.dummyfunction("""COMPUTED_VALUE"""),1)</f>
        <v>1</v>
      </c>
      <c r="D11" s="0" t="str">
        <f aca="false">IFERROR(__xludf.dummyfunction("""COMPUTED_VALUE"""),"AICI202101-4-1| 41. Realizar la verificacion de los espacios establecidos en los laboratorios de ingenieria biomedica (01/06/2021 - 30/06/2021)")</f>
        <v>AICI202101-4-1| 41. Realizar la verificacion de los espacios establecidos en los laboratorios de ingenieria biomedica (01/06/2021 - 30/06/2021)</v>
      </c>
      <c r="E11" s="0" t="str">
        <f aca="false">IFERROR(__xludf.dummyfunction("""COMPUTED_VALUE"""),"Acción no iniciada")</f>
        <v>Acción no iniciada</v>
      </c>
      <c r="F11" s="0" t="str">
        <f aca="false">IFERROR(__xludf.dummyfunction("""COMPUTED_VALUE"""),"No iniciado")</f>
        <v>No iniciado</v>
      </c>
    </row>
    <row r="12" customFormat="false" ht="14.25" hidden="false" customHeight="false" outlineLevel="0" collapsed="false">
      <c r="A12" s="18" t="str">
        <f aca="false">IFERROR(MID(D12,1,FIND("|",D12)-1)&amp;"-"&amp;C12,"")</f>
        <v>AICI202101-4-2-1</v>
      </c>
      <c r="B12" s="19" t="n">
        <f aca="false">IFERROR(__xludf.dummyfunction("""COMPUTED_VALUE"""),44350)</f>
        <v>44350</v>
      </c>
      <c r="C12" s="0" t="n">
        <f aca="false">IFERROR(__xludf.dummyfunction("""COMPUTED_VALUE"""),1)</f>
        <v>1</v>
      </c>
      <c r="D12" s="0" t="str">
        <f aca="false">IFERROR(__xludf.dummyfunction("""COMPUTED_VALUE"""),"AICI202101-4-2| 42. Reorganizar los espacios de ingenieria biomedica, con el fin de cumplir con las condiciones de seguridad (01/07/2021 - 30/10/2021)")</f>
        <v>AICI202101-4-2| 42. Reorganizar los espacios de ingenieria biomedica, con el fin de cumplir con las condiciones de seguridad (01/07/2021 - 30/10/2021)</v>
      </c>
      <c r="E12" s="0" t="str">
        <f aca="false">IFERROR(__xludf.dummyfunction("""COMPUTED_VALUE"""),"Acción no iniciada")</f>
        <v>Acción no iniciada</v>
      </c>
      <c r="F12" s="0" t="str">
        <f aca="false">IFERROR(__xludf.dummyfunction("""COMPUTED_VALUE"""),"No iniciado")</f>
        <v>No iniciado</v>
      </c>
    </row>
    <row r="13" customFormat="false" ht="14.25" hidden="false" customHeight="false" outlineLevel="0" collapsed="false">
      <c r="A13" s="18" t="str">
        <f aca="false">IFERROR(MID(D13,1,FIND("|",D13)-1)&amp;"-"&amp;C13,"")</f>
        <v>AICI202101-4-3-1</v>
      </c>
      <c r="B13" s="19" t="n">
        <f aca="false">IFERROR(__xludf.dummyfunction("""COMPUTED_VALUE"""),44350)</f>
        <v>44350</v>
      </c>
      <c r="C13" s="0" t="n">
        <f aca="false">IFERROR(__xludf.dummyfunction("""COMPUTED_VALUE"""),1)</f>
        <v>1</v>
      </c>
      <c r="D13" s="0" t="str">
        <f aca="false">IFERROR(__xludf.dummyfunction("""COMPUTED_VALUE"""),"AICI202101-4-3| 43. implementar el laboratorio de ingenieria biomedica (01/11/2021 - 31/12/2021)")</f>
        <v>AICI202101-4-3| 43. implementar el laboratorio de ingenieria biomedica (01/11/2021 - 31/12/2021)</v>
      </c>
      <c r="E13" s="0" t="str">
        <f aca="false">IFERROR(__xludf.dummyfunction("""COMPUTED_VALUE"""),"Acción no iniciada")</f>
        <v>Acción no iniciada</v>
      </c>
      <c r="F13" s="0" t="str">
        <f aca="false">IFERROR(__xludf.dummyfunction("""COMPUTED_VALUE"""),"No iniciado")</f>
        <v>No iniciado</v>
      </c>
    </row>
    <row r="14" customFormat="false" ht="14.25" hidden="false" customHeight="false" outlineLevel="0" collapsed="false">
      <c r="A14" s="18" t="str">
        <f aca="false">IFERROR(MID(D14,1,FIND("|",D14)-1)&amp;"-"&amp;C14,"")</f>
        <v>AICI202101-5-1-1</v>
      </c>
      <c r="B14" s="19" t="n">
        <f aca="false">IFERROR(__xludf.dummyfunction("""COMPUTED_VALUE"""),44350)</f>
        <v>44350</v>
      </c>
      <c r="C14" s="0" t="n">
        <f aca="false">IFERROR(__xludf.dummyfunction("""COMPUTED_VALUE"""),1)</f>
        <v>1</v>
      </c>
      <c r="D14" s="0" t="str">
        <f aca="false">IFERROR(__xludf.dummyfunction("""COMPUTED_VALUE"""),"AICI202101-5-1| 51. Realizar el levanmiento de inventario documental de los archivo de gestion conforme a la tablas de retencion documental (hojas de vida equipos biomedicos dados de baja) (01/05/2021 - 30/07/2021)")</f>
        <v>AICI202101-5-1| 51. Realizar el levanmiento de inventario documental de los archivo de gestion conforme a la tablas de retencion documental (hojas de vida equipos biomedicos dados de baja) (01/05/2021 - 30/07/2021)</v>
      </c>
      <c r="E14" s="0" t="str">
        <f aca="false">IFERROR(__xludf.dummyfunction("""COMPUTED_VALUE"""),"Acción no iniciada")</f>
        <v>Acción no iniciada</v>
      </c>
      <c r="F14" s="0" t="str">
        <f aca="false">IFERROR(__xludf.dummyfunction("""COMPUTED_VALUE"""),"No iniciado")</f>
        <v>No iniciado</v>
      </c>
    </row>
    <row r="15" customFormat="false" ht="14.25" hidden="false" customHeight="false" outlineLevel="0" collapsed="false">
      <c r="A15" s="18" t="str">
        <f aca="false">IFERROR(MID(D15,1,FIND("|",D15)-1)&amp;"-"&amp;C15,"")</f>
        <v>AICI202101-5-2-1</v>
      </c>
      <c r="B15" s="19" t="n">
        <f aca="false">IFERROR(__xludf.dummyfunction("""COMPUTED_VALUE"""),44350)</f>
        <v>44350</v>
      </c>
      <c r="C15" s="0" t="n">
        <f aca="false">IFERROR(__xludf.dummyfunction("""COMPUTED_VALUE"""),1)</f>
        <v>1</v>
      </c>
      <c r="D15" s="0" t="str">
        <f aca="false">IFERROR(__xludf.dummyfunction("""COMPUTED_VALUE"""),"AICI202101-5-2| 52. Preparar y organizar la documentacion a transferir de acuerdo a las tabla de retencion documental (hojas de vida equipos biomedicos dados de baja) (01/08/2021 - 31/12/2021)")</f>
        <v>AICI202101-5-2| 52. Preparar y organizar la documentacion a transferir de acuerdo a las tabla de retencion documental (hojas de vida equipos biomedicos dados de baja) (01/08/2021 - 31/12/2021)</v>
      </c>
      <c r="E15" s="0" t="str">
        <f aca="false">IFERROR(__xludf.dummyfunction("""COMPUTED_VALUE"""),"Acción no iniciada")</f>
        <v>Acción no iniciada</v>
      </c>
      <c r="F15" s="0" t="str">
        <f aca="false">IFERROR(__xludf.dummyfunction("""COMPUTED_VALUE"""),"No iniciado")</f>
        <v>No iniciado</v>
      </c>
    </row>
    <row r="16" customFormat="false" ht="14.25" hidden="false" customHeight="false" outlineLevel="0" collapsed="false">
      <c r="A16" s="18" t="str">
        <f aca="false">IFERROR(MID(D16,1,FIND("|",D16)-1)&amp;"-"&amp;C16,"")</f>
        <v>AICI202101-3-1-1</v>
      </c>
      <c r="B16" s="19" t="n">
        <f aca="false">IFERROR(__xludf.dummyfunction("""COMPUTED_VALUE"""),44350)</f>
        <v>44350</v>
      </c>
      <c r="C16" s="0" t="n">
        <f aca="false">IFERROR(__xludf.dummyfunction("""COMPUTED_VALUE"""),1)</f>
        <v>1</v>
      </c>
      <c r="D16" s="0" t="str">
        <f aca="false">IFERROR(__xludf.dummyfunction("""COMPUTED_VALUE"""),"AICI202101-3-1| 31. Garantizar la calibracion y los certificados de los equipos biomedicos según cronograma establecido (01/06/2021 - 31/12/2021)")</f>
        <v>AICI202101-3-1| 31. Garantizar la calibracion y los certificados de los equipos biomedicos según cronograma establecido (01/06/2021 - 31/12/2021)</v>
      </c>
      <c r="E16" s="0" t="str">
        <f aca="false">IFERROR(__xludf.dummyfunction("""COMPUTED_VALUE"""),"Acción no iniciada")</f>
        <v>Acción no iniciada</v>
      </c>
      <c r="F16" s="0" t="str">
        <f aca="false">IFERROR(__xludf.dummyfunction("""COMPUTED_VALUE"""),"No iniciado")</f>
        <v>No iniciado</v>
      </c>
    </row>
    <row r="17" customFormat="false" ht="14.25" hidden="false" customHeight="false" outlineLevel="0" collapsed="false">
      <c r="A17" s="18" t="str">
        <f aca="false">IFERROR(MID(D17,1,FIND("|",D17)-1)&amp;"-"&amp;C17,"")</f>
        <v>AICI202101-1-1-2</v>
      </c>
      <c r="B17" s="19" t="n">
        <f aca="false">IFERROR(__xludf.dummyfunction("""COMPUTED_VALUE"""),44578)</f>
        <v>44578</v>
      </c>
      <c r="C17" s="0" t="n">
        <f aca="false">IFERROR(__xludf.dummyfunction("""COMPUTED_VALUE"""),2)</f>
        <v>2</v>
      </c>
      <c r="D17" s="0" t="str">
        <f aca="false">IFERROR(__xludf.dummyfunction("""COMPUTED_VALUE"""),"AICI202101-1-1| 11. Realizar la solicitud de las fechas de adqusicion de los equipos biomedicos al area de activos fijos (01/05/2021 - 30/06/2021)")</f>
        <v>AICI202101-1-1| 11. Realizar la solicitud de las fechas de adqusicion de los equipos biomedicos al area de activos fijos (01/05/2021 - 30/06/2021)</v>
      </c>
      <c r="E17" s="0" t="str">
        <f aca="false">IFERROR(__xludf.dummyfunction("""COMPUTED_VALUE"""),"Se realiza oficio al área de activos fijos con solicitud de fechas de adquisición de los equipos biomedicos.")</f>
        <v>Se realiza oficio al área de activos fijos con solicitud de fechas de adquisición de los equipos biomedicos.</v>
      </c>
      <c r="F17" s="0" t="str">
        <f aca="false">IFERROR(__xludf.dummyfunction("""COMPUTED_VALUE"""),"Completo")</f>
        <v>Completo</v>
      </c>
      <c r="G17" s="20" t="str">
        <f aca="false">IFERROR(__xludf.dummyfunction("""COMPUTED_VALUE"""),"https://drive.google.com/open?id=1wFyEwDPObvVlm4F4f1Bv-1XdXXyS7AYo")</f>
        <v>https://drive.google.com/open?id=1wFyEwDPObvVlm4F4f1Bv-1XdXXyS7AYo</v>
      </c>
    </row>
    <row r="18" customFormat="false" ht="14.25" hidden="false" customHeight="false" outlineLevel="0" collapsed="false">
      <c r="A18" s="18" t="str">
        <f aca="false">IFERROR(MID(D18,1,FIND("|",D18)-1)&amp;"-"&amp;C18,"")</f>
        <v>AICI202101-1-2-2</v>
      </c>
      <c r="B18" s="19" t="n">
        <f aca="false">IFERROR(__xludf.dummyfunction("""COMPUTED_VALUE"""),44578)</f>
        <v>44578</v>
      </c>
      <c r="C18" s="0" t="n">
        <f aca="false">IFERROR(__xludf.dummyfunction("""COMPUTED_VALUE"""),2)</f>
        <v>2</v>
      </c>
      <c r="D18" s="0" t="str">
        <f aca="false">IFERROR(__xludf.dummyfunction("""COMPUTED_VALUE"""),"AICI202101-1-2| 12. Actualizar las fechas de adqusicion y vida util en el formato de hoja de vida con codigo AP-AT-F-06-02 (01/07/2021 - 15/11/2021)")</f>
        <v>AICI202101-1-2| 12. Actualizar las fechas de adqusicion y vida util en el formato de hoja de vida con codigo AP-AT-F-06-02 (01/07/2021 - 15/11/2021)</v>
      </c>
      <c r="E18" s="0" t="str">
        <f aca="false">IFERROR(__xludf.dummyfunction("""COMPUTED_VALUE"""),"De acuerdo a las visitas realizadas por esta oficina a los laboratorios de las Unidades de Servicio de Salud (Engativá, Suba y Chapinero) se evidencio que:
En los laboratorios de USS (Chapinero, Suba y Engativá) las hojas de vida verificadas  se encontra"&amp;"ron los registros históricos con las fecha de adquisición y vida útil  de los equipos, además se encuentren impresos,  archivados y se viene organizando en carpetas y cajas el archivo de apoyo. Acta 1 del 17 enero de 2022 y acta No 4 del 21 de enero de 20"&amp;"22
")</f>
        <v>De acuerdo a las visitas realizadas por esta oficina a los laboratorios de las Unidades de Servicio de Salud (Engativá, Suba y Chapinero) se evidencio que:
En los laboratorios de USS (Chapinero, Suba y Engativá) las hojas de vida verificadas  se encontraron los registros históricos con las fecha de adquisición y vida útil  de los equipos, además se encuentren impresos,  archivados y se viene organizando en carpetas y cajas el archivo de apoyo. Acta 1 del 17 enero de 2022 y acta No 4 del 21 de enero de 2022
</v>
      </c>
      <c r="F18" s="0" t="str">
        <f aca="false">IFERROR(__xludf.dummyfunction("""COMPUTED_VALUE"""),"Completo")</f>
        <v>Completo</v>
      </c>
      <c r="G18" s="0" t="str">
        <f aca="false">IFERROR(__xludf.dummyfunction("""COMPUTED_VALUE"""),"https://drive.google.com/open?id=1VDuKcvNM6IEMfsNfWm720ju09T9YHtDy, https://drive.google.com/open?id=17Ruj7jRQiwaWc5p3ZpLndNcZoG-6Rm-m")</f>
        <v>https://drive.google.com/open?id=1VDuKcvNM6IEMfsNfWm720ju09T9YHtDy, https://drive.google.com/open?id=17Ruj7jRQiwaWc5p3ZpLndNcZoG-6Rm-m</v>
      </c>
    </row>
    <row r="19" customFormat="false" ht="14.25" hidden="false" customHeight="false" outlineLevel="0" collapsed="false">
      <c r="A19" s="18" t="str">
        <f aca="false">IFERROR(MID(D19,1,FIND("|",D19)-1)&amp;"-"&amp;C19,"")</f>
        <v>AICI202101-1-3-2</v>
      </c>
      <c r="B19" s="19" t="n">
        <f aca="false">IFERROR(__xludf.dummyfunction("""COMPUTED_VALUE"""),44578)</f>
        <v>44578</v>
      </c>
      <c r="C19" s="0" t="n">
        <f aca="false">IFERROR(__xludf.dummyfunction("""COMPUTED_VALUE"""),2)</f>
        <v>2</v>
      </c>
      <c r="D19" s="0" t="str">
        <f aca="false">IFERROR(__xludf.dummyfunction("""COMPUTED_VALUE"""),"AICI202101-1-3| 13. Imprimir y archivar los formatos de hoja de vida con codigo AP. AT-F-06.02, en la hojas de vida fisicas (16/11/2021 - 31/12/2021)")</f>
        <v>AICI202101-1-3| 13. Imprimir y archivar los formatos de hoja de vida con codigo AP. AT-F-06.02, en la hojas de vida fisicas (16/11/2021 - 31/12/2021)</v>
      </c>
      <c r="E19" s="0" t="str">
        <f aca="false">IFERROR(__xludf.dummyfunction("""COMPUTED_VALUE"""),"De acuerdo a las visitas realizadas por esta oficina a los laboratorios de las Unidades de Servicio de Salud (Engativá, Suba y Chapinero) se evidencio que:
En los laboratorios de USS (Chapinero, Suba y Engativá) las hojas de vida verificadas  se encontra"&amp;"ron los registros históricos con las fecha de adquisición y vida útil  de los equipos, además se encuentren impresos,  archivados y se viene organizando en carpetas y cajas el archivo de apoyo. Acta 1 del 17 enero de 2022 y acta No 4 del 21 de enero de 20"&amp;"22
")</f>
        <v>De acuerdo a las visitas realizadas por esta oficina a los laboratorios de las Unidades de Servicio de Salud (Engativá, Suba y Chapinero) se evidencio que:
En los laboratorios de USS (Chapinero, Suba y Engativá) las hojas de vida verificadas  se encontraron los registros históricos con las fecha de adquisición y vida útil  de los equipos, además se encuentren impresos,  archivados y se viene organizando en carpetas y cajas el archivo de apoyo. Acta 1 del 17 enero de 2022 y acta No 4 del 21 de enero de 2022
</v>
      </c>
      <c r="F19" s="0" t="str">
        <f aca="false">IFERROR(__xludf.dummyfunction("""COMPUTED_VALUE"""),"Completo")</f>
        <v>Completo</v>
      </c>
      <c r="G19" s="0" t="str">
        <f aca="false">IFERROR(__xludf.dummyfunction("""COMPUTED_VALUE"""),"https://drive.google.com/open?id=1q24n5Stt_ExB2kY7Ste_00AALYG9huBn, https://drive.google.com/open?id=1Az3LVookYZic9PXotpNeqQxo7AwXUXPi")</f>
        <v>https://drive.google.com/open?id=1q24n5Stt_ExB2kY7Ste_00AALYG9huBn, https://drive.google.com/open?id=1Az3LVookYZic9PXotpNeqQxo7AwXUXPi</v>
      </c>
    </row>
    <row r="20" customFormat="false" ht="14.25" hidden="false" customHeight="false" outlineLevel="0" collapsed="false">
      <c r="A20" s="18" t="str">
        <f aca="false">IFERROR(MID(D20,1,FIND("|",D20)-1)&amp;"-"&amp;C20,"")</f>
        <v>AICI202101-2-1-2</v>
      </c>
      <c r="B20" s="19" t="n">
        <f aca="false">IFERROR(__xludf.dummyfunction("""COMPUTED_VALUE"""),44578)</f>
        <v>44578</v>
      </c>
      <c r="C20" s="0" t="n">
        <f aca="false">IFERROR(__xludf.dummyfunction("""COMPUTED_VALUE"""),2)</f>
        <v>2</v>
      </c>
      <c r="D20" s="0" t="str">
        <f aca="false">IFERROR(__xludf.dummyfunction("""COMPUTED_VALUE"""),"AICI202101-2-1| 21. Realizar envio de inventarios actualizado por parte de ingenieria biomedica al area de activos fijos para actualizacion de placas y seriales de los equipos biomedicos en la plaforma utilizada para control de los activos (01/01/2021 - 3"&amp;"0/06/2021)")</f>
        <v>AICI202101-2-1| 21. Realizar envio de inventarios actualizado por parte de ingenieria biomedica al area de activos fijos para actualizacion de placas y seriales de los equipos biomedicos en la plaforma utilizada para control de los activos (01/01/2021 - 30/06/2021)</v>
      </c>
      <c r="E20" s="0" t="str">
        <f aca="false">IFERROR(__xludf.dummyfunction("""COMPUTED_VALUE"""),"Se realiza envió de inventarios  actualizados de los equipos biomedicos, al área de activos fijos para su respectiva gestión .")</f>
        <v>Se realiza envió de inventarios  actualizados de los equipos biomedicos, al área de activos fijos para su respectiva gestión .</v>
      </c>
      <c r="F20" s="0" t="str">
        <f aca="false">IFERROR(__xludf.dummyfunction("""COMPUTED_VALUE"""),"Completo")</f>
        <v>Completo</v>
      </c>
      <c r="G20" s="0" t="str">
        <f aca="false">IFERROR(__xludf.dummyfunction("""COMPUTED_VALUE"""),"https://drive.google.com/open?id=1znyXWomudyzeaEKE9Sy-Tw2ThlLg00rp, https://drive.google.com/open?id=1hibHZFujLrg9tlvOJ10PjbNDyzamgU4L, https://drive.google.com/open?id=1o7eSRPiRrBcBciUd5wzBaoK21fndWn9u")</f>
        <v>https://drive.google.com/open?id=1znyXWomudyzeaEKE9Sy-Tw2ThlLg00rp, https://drive.google.com/open?id=1hibHZFujLrg9tlvOJ10PjbNDyzamgU4L, https://drive.google.com/open?id=1o7eSRPiRrBcBciUd5wzBaoK21fndWn9u</v>
      </c>
    </row>
    <row r="21" customFormat="false" ht="14.25" hidden="false" customHeight="false" outlineLevel="0" collapsed="false">
      <c r="A21" s="18" t="str">
        <f aca="false">IFERROR(MID(D21,1,FIND("|",D21)-1)&amp;"-"&amp;C21,"")</f>
        <v>AICI202101-2-2-2</v>
      </c>
      <c r="B21" s="19" t="n">
        <f aca="false">IFERROR(__xludf.dummyfunction("""COMPUTED_VALUE"""),44578)</f>
        <v>44578</v>
      </c>
      <c r="C21" s="0" t="n">
        <f aca="false">IFERROR(__xludf.dummyfunction("""COMPUTED_VALUE"""),2)</f>
        <v>2</v>
      </c>
      <c r="D21" s="0" t="str">
        <f aca="false">IFERROR(__xludf.dummyfunction("""COMPUTED_VALUE"""),"AICI202101-2-2| 22. Actualizar el modulo de activos fijos con la informacion (01/07/2021 - 31/12/2021)")</f>
        <v>AICI202101-2-2| 22. Actualizar el modulo de activos fijos con la informacion (01/07/2021 - 31/12/2021)</v>
      </c>
      <c r="E21" s="0" t="str">
        <f aca="false">IFERROR(__xludf.dummyfunction("""COMPUTED_VALUE"""),"De acuerdo a la verificación realizada por esta oficina al módulo de activos fijos  mediante el muestro que se hizo cada laboratorio como se mencionó anteriormente se estableció que la mayoría de los equipos verificados se encuentran actualizados con sus "&amp;"placas y seriales.")</f>
        <v>De acuerdo a la verificación realizada por esta oficina al módulo de activos fijos  mediante el muestro que se hizo cada laboratorio como se mencionó anteriormente se estableció que la mayoría de los equipos verificados se encuentran actualizados con sus placas y seriales.</v>
      </c>
      <c r="F21" s="0" t="str">
        <f aca="false">IFERROR(__xludf.dummyfunction("""COMPUTED_VALUE"""),"Completo")</f>
        <v>Completo</v>
      </c>
      <c r="G21" s="0" t="str">
        <f aca="false">IFERROR(__xludf.dummyfunction("""COMPUTED_VALUE"""),"https://drive.google.com/open?id=1nGvZKc4kF-HTA03EWfvPw7hhS1yTF8N6, https://drive.google.com/open?id=1Zqkrsv61DhWeILYXg99TDfeSpcnIYp5b, https://drive.google.com/open?id=1UYYDuxnY4K3F4c2WX8cw8m97XXT2uJ4z")</f>
        <v>https://drive.google.com/open?id=1nGvZKc4kF-HTA03EWfvPw7hhS1yTF8N6, https://drive.google.com/open?id=1Zqkrsv61DhWeILYXg99TDfeSpcnIYp5b, https://drive.google.com/open?id=1UYYDuxnY4K3F4c2WX8cw8m97XXT2uJ4z</v>
      </c>
    </row>
    <row r="22" customFormat="false" ht="14.25" hidden="false" customHeight="false" outlineLevel="0" collapsed="false">
      <c r="A22" s="18" t="str">
        <f aca="false">IFERROR(MID(D22,1,FIND("|",D22)-1)&amp;"-"&amp;C22,"")</f>
        <v>AICI202101-3-1-2</v>
      </c>
      <c r="B22" s="19" t="n">
        <f aca="false">IFERROR(__xludf.dummyfunction("""COMPUTED_VALUE"""),44578)</f>
        <v>44578</v>
      </c>
      <c r="C22" s="0" t="n">
        <f aca="false">IFERROR(__xludf.dummyfunction("""COMPUTED_VALUE"""),2)</f>
        <v>2</v>
      </c>
      <c r="D22" s="0" t="str">
        <f aca="false">IFERROR(__xludf.dummyfunction("""COMPUTED_VALUE"""),"AICI202101-3-1| 31. Garantizar la calibracion y los certificados de los equipos biomedicos según cronograma establecido (01/06/2021 - 31/12/2021)")</f>
        <v>AICI202101-3-1| 31. Garantizar la calibracion y los certificados de los equipos biomedicos según cronograma establecido (01/06/2021 - 31/12/2021)</v>
      </c>
      <c r="E22" s="0" t="str">
        <f aca="false">IFERROR(__xludf.dummyfunction("""COMPUTED_VALUE"""),"El equipo Biomédico entrega como soporte un documento con  el consolidado de las calibraciones ejecutadas  durante el 2021 para los equipos que se  requirieron. De acuerdo a lo anterior se verificaron que las tres USS (Engativá, Suba y Chapinero) cuentan "&amp;"en las hojas de vida los soportes de certificaciones de calibraciones de acuerdo a la muestra  aleatoriamente de algunos equipos Biomédicos verificados. ")</f>
        <v>El equipo Biomédico entrega como soporte un documento con  el consolidado de las calibraciones ejecutadas  durante el 2021 para los equipos que se  requirieron. De acuerdo a lo anterior se verificaron que las tres USS (Engativá, Suba y Chapinero) cuentan en las hojas de vida los soportes de certificaciones de calibraciones de acuerdo a la muestra  aleatoriamente de algunos equipos Biomédicos verificados. </v>
      </c>
      <c r="F22" s="0" t="str">
        <f aca="false">IFERROR(__xludf.dummyfunction("""COMPUTED_VALUE"""),"Completo")</f>
        <v>Completo</v>
      </c>
      <c r="G22" s="0" t="str">
        <f aca="false">IFERROR(__xludf.dummyfunction("""COMPUTED_VALUE"""),"https://drive.google.com/open?id=1NbreQRiNo19tQOgGS6NKNFeUx6PYhZLM, https://drive.google.com/open?id=16tHgnLzRO1dhBs7xO7ie8JRxbpiRDnLI, https://drive.google.com/open?id=196JNuz7s5yUMT-hrV2DmX5LbT7jFqml8")</f>
        <v>https://drive.google.com/open?id=1NbreQRiNo19tQOgGS6NKNFeUx6PYhZLM, https://drive.google.com/open?id=16tHgnLzRO1dhBs7xO7ie8JRxbpiRDnLI, https://drive.google.com/open?id=196JNuz7s5yUMT-hrV2DmX5LbT7jFqml8</v>
      </c>
    </row>
    <row r="23" customFormat="false" ht="14.25" hidden="false" customHeight="false" outlineLevel="0" collapsed="false">
      <c r="A23" s="18" t="str">
        <f aca="false">IFERROR(MID(D23,1,FIND("|",D23)-1)&amp;"-"&amp;C23,"")</f>
        <v>AICI202101-4-1-2</v>
      </c>
      <c r="B23" s="19" t="n">
        <f aca="false">IFERROR(__xludf.dummyfunction("""COMPUTED_VALUE"""),44578)</f>
        <v>44578</v>
      </c>
      <c r="C23" s="0" t="n">
        <f aca="false">IFERROR(__xludf.dummyfunction("""COMPUTED_VALUE"""),2)</f>
        <v>2</v>
      </c>
      <c r="D23" s="0" t="str">
        <f aca="false">IFERROR(__xludf.dummyfunction("""COMPUTED_VALUE"""),"AICI202101-4-1| 41. Realizar la verificacion de los espacios establecidos en los laboratorios de ingenieria biomedica (01/06/2021 - 30/06/2021)")</f>
        <v>AICI202101-4-1| 41. Realizar la verificacion de los espacios establecidos en los laboratorios de ingenieria biomedica (01/06/2021 - 30/06/2021)</v>
      </c>
      <c r="E23" s="0" t="str">
        <f aca="false">IFERROR(__xludf.dummyfunction("""COMPUTED_VALUE"""),"Se adjunta  acta de socialización de los planos allegados por los líderes de ingeniería biomédica de  cada unidad de ingeniería con infraestructura.")</f>
        <v>Se adjunta  acta de socialización de los planos allegados por los líderes de ingeniería biomédica de  cada unidad de ingeniería con infraestructura.</v>
      </c>
      <c r="F23" s="0" t="str">
        <f aca="false">IFERROR(__xludf.dummyfunction("""COMPUTED_VALUE"""),"Completo")</f>
        <v>Completo</v>
      </c>
      <c r="G23" s="0" t="str">
        <f aca="false">IFERROR(__xludf.dummyfunction("""COMPUTED_VALUE"""),"https://drive.google.com/open?id=1KVcrLBwbQIqSgeRcjLBODuC0y6GLbwpR, https://drive.google.com/open?id=1NPqil4Hnj4VYuTUg82Mhn-9BDaNXqbet")</f>
        <v>https://drive.google.com/open?id=1KVcrLBwbQIqSgeRcjLBODuC0y6GLbwpR, https://drive.google.com/open?id=1NPqil4Hnj4VYuTUg82Mhn-9BDaNXqbet</v>
      </c>
    </row>
    <row r="24" customFormat="false" ht="14.25" hidden="false" customHeight="false" outlineLevel="0" collapsed="false">
      <c r="A24" s="18" t="str">
        <f aca="false">IFERROR(MID(D24,1,FIND("|",D24)-1)&amp;"-"&amp;C24,"")</f>
        <v>AICI202101-4-2-2</v>
      </c>
      <c r="B24" s="19" t="n">
        <f aca="false">IFERROR(__xludf.dummyfunction("""COMPUTED_VALUE"""),44578)</f>
        <v>44578</v>
      </c>
      <c r="C24" s="0" t="n">
        <f aca="false">IFERROR(__xludf.dummyfunction("""COMPUTED_VALUE"""),2)</f>
        <v>2</v>
      </c>
      <c r="D24" s="0" t="str">
        <f aca="false">IFERROR(__xludf.dummyfunction("""COMPUTED_VALUE"""),"AICI202101-4-2| 42. Reorganizar los espacios de ingenieria biomedica, con el fin de cumplir con las condiciones de seguridad (01/07/2021 - 30/10/2021)")</f>
        <v>AICI202101-4-2| 42. Reorganizar los espacios de ingenieria biomedica, con el fin de cumplir con las condiciones de seguridad (01/07/2021 - 30/10/2021)</v>
      </c>
      <c r="E24" s="0" t="str">
        <f aca="false">IFERROR(__xludf.dummyfunction("""COMPUTED_VALUE"""),"Se adjunta acta de despliegue  y evidencia de la reubicación y reorganización de los laboratorios biomédicos.")</f>
        <v>Se adjunta acta de despliegue  y evidencia de la reubicación y reorganización de los laboratorios biomédicos.</v>
      </c>
      <c r="F24" s="0" t="str">
        <f aca="false">IFERROR(__xludf.dummyfunction("""COMPUTED_VALUE"""),"Completo")</f>
        <v>Completo</v>
      </c>
      <c r="G24" s="0" t="str">
        <f aca="false">IFERROR(__xludf.dummyfunction("""COMPUTED_VALUE"""),"https://drive.google.com/open?id=1KuQ_YYUHW51VyqfK1fS9TkV5LFT90oRL, https://drive.google.com/open?id=1ONqvdTTRY9YaBLfw4nDGBXwMb2QGL30P")</f>
        <v>https://drive.google.com/open?id=1KuQ_YYUHW51VyqfK1fS9TkV5LFT90oRL, https://drive.google.com/open?id=1ONqvdTTRY9YaBLfw4nDGBXwMb2QGL30P</v>
      </c>
    </row>
    <row r="25" customFormat="false" ht="14.25" hidden="false" customHeight="false" outlineLevel="0" collapsed="false">
      <c r="A25" s="18" t="str">
        <f aca="false">IFERROR(MID(D25,1,FIND("|",D25)-1)&amp;"-"&amp;C25,"")</f>
        <v>AICI202101-4-3-2</v>
      </c>
      <c r="B25" s="19" t="n">
        <f aca="false">IFERROR(__xludf.dummyfunction("""COMPUTED_VALUE"""),44578)</f>
        <v>44578</v>
      </c>
      <c r="C25" s="0" t="n">
        <f aca="false">IFERROR(__xludf.dummyfunction("""COMPUTED_VALUE"""),2)</f>
        <v>2</v>
      </c>
      <c r="D25" s="0" t="str">
        <f aca="false">IFERROR(__xludf.dummyfunction("""COMPUTED_VALUE"""),"AICI202101-4-3| 43. implementar el laboratorio de ingenieria biomedica (01/11/2021 - 31/12/2021)")</f>
        <v>AICI202101-4-3| 43. implementar el laboratorio de ingenieria biomedica (01/11/2021 - 31/12/2021)</v>
      </c>
      <c r="E25" s="0" t="str">
        <f aca="false">IFERROR(__xludf.dummyfunction("""COMPUTED_VALUE"""),"Se evidencio que los laboratorios de las Unidades de Servicios de Salud de Engativá y Chapinero cuentan con las suficientes condiciones de seguridad adecuada a los elementos, equipo y herramientas que se encuentran en cada una de estos sitios. Evidencias "&amp;"Fotográficas.")</f>
        <v>Se evidencio que los laboratorios de las Unidades de Servicios de Salud de Engativá y Chapinero cuentan con las suficientes condiciones de seguridad adecuada a los elementos, equipo y herramientas que se encuentran en cada una de estos sitios. Evidencias Fotográficas.</v>
      </c>
      <c r="F25" s="0" t="str">
        <f aca="false">IFERROR(__xludf.dummyfunction("""COMPUTED_VALUE"""),"Completo")</f>
        <v>Completo</v>
      </c>
      <c r="G25" s="0" t="str">
        <f aca="false">IFERROR(__xludf.dummyfunction("""COMPUTED_VALUE"""),"https://drive.google.com/open?id=1HjR9HF8CVYnMubs90Xo4kmM2A5cThml7, https://drive.google.com/open?id=1oQ3D4bjkjAV7UufevilCQz7fS7aNutO0, https://drive.google.com/open?id=1mV-c-04cdOVuyWFTbiFKAf_fP_YTfam3, https://drive.google.com/open?id=1Djy4q1HCn5qFE9wmn"&amp;"MJRvnnLkQl4_7dt")</f>
        <v>https://drive.google.com/open?id=1HjR9HF8CVYnMubs90Xo4kmM2A5cThml7, https://drive.google.com/open?id=1oQ3D4bjkjAV7UufevilCQz7fS7aNutO0, https://drive.google.com/open?id=1mV-c-04cdOVuyWFTbiFKAf_fP_YTfam3, https://drive.google.com/open?id=1Djy4q1HCn5qFE9wmnMJRvnnLkQl4_7dt</v>
      </c>
    </row>
    <row r="26" customFormat="false" ht="14.25" hidden="false" customHeight="false" outlineLevel="0" collapsed="false">
      <c r="A26" s="18" t="str">
        <f aca="false">IFERROR(MID(D26,1,FIND("|",D26)-1)&amp;"-"&amp;C26,"")</f>
        <v>AICI202101-5-1-2</v>
      </c>
      <c r="B26" s="19" t="n">
        <f aca="false">IFERROR(__xludf.dummyfunction("""COMPUTED_VALUE"""),44578)</f>
        <v>44578</v>
      </c>
      <c r="C26" s="0" t="n">
        <f aca="false">IFERROR(__xludf.dummyfunction("""COMPUTED_VALUE"""),2)</f>
        <v>2</v>
      </c>
      <c r="D26" s="0" t="str">
        <f aca="false">IFERROR(__xludf.dummyfunction("""COMPUTED_VALUE"""),"AICI202101-5-1| 51. Realizar el levanmiento de inventario documental de los archivo de gestion conforme a la tablas de retencion documental (hojas de vida equipos biomedicos dados de baja) (01/05/2021 - 30/07/2021)")</f>
        <v>AICI202101-5-1| 51. Realizar el levanmiento de inventario documental de los archivo de gestion conforme a la tablas de retencion documental (hojas de vida equipos biomedicos dados de baja) (01/05/2021 - 30/07/2021)</v>
      </c>
      <c r="E26" s="0" t="str">
        <f aca="false">IFERROR(__xludf.dummyfunction("""COMPUTED_VALUE"""),"Se realizó el levamiento de inventario documental de los archivo de gestión conforme a la tablas de retención documental (hojas de vida equipos biomédicos dados de baja) y se preparó y organizo la documentación a transferir de acuerdo a las tabla de reten"&amp;"ción documental. Se anexa Acta de Baja de equipos Biomédicos.")</f>
        <v>Se realizó el levamiento de inventario documental de los archivo de gestión conforme a la tablas de retención documental (hojas de vida equipos biomédicos dados de baja) y se preparó y organizo la documentación a transferir de acuerdo a las tabla de retención documental. Se anexa Acta de Baja de equipos Biomédicos.</v>
      </c>
      <c r="F26" s="0" t="str">
        <f aca="false">IFERROR(__xludf.dummyfunction("""COMPUTED_VALUE"""),"Completo")</f>
        <v>Completo</v>
      </c>
      <c r="G26" s="0" t="str">
        <f aca="false">IFERROR(__xludf.dummyfunction("""COMPUTED_VALUE"""),"https://drive.google.com/open?id=1MGVLDl-XMXtj4tQ9w4GGm2d6j4-8wlhE, https://drive.google.com/open?id=1ZGiL2njvrSeZdhNwopNhPXEOOSh3Y6ql")</f>
        <v>https://drive.google.com/open?id=1MGVLDl-XMXtj4tQ9w4GGm2d6j4-8wlhE, https://drive.google.com/open?id=1ZGiL2njvrSeZdhNwopNhPXEOOSh3Y6ql</v>
      </c>
    </row>
    <row r="27" customFormat="false" ht="14.25" hidden="false" customHeight="false" outlineLevel="0" collapsed="false">
      <c r="A27" s="18" t="str">
        <f aca="false">IFERROR(MID(D27,1,FIND("|",D27)-1)&amp;"-"&amp;C27,"")</f>
        <v>AICI202101-5-2-2</v>
      </c>
      <c r="B27" s="19" t="n">
        <f aca="false">IFERROR(__xludf.dummyfunction("""COMPUTED_VALUE"""),44578)</f>
        <v>44578</v>
      </c>
      <c r="C27" s="0" t="n">
        <f aca="false">IFERROR(__xludf.dummyfunction("""COMPUTED_VALUE"""),2)</f>
        <v>2</v>
      </c>
      <c r="D27" s="0" t="str">
        <f aca="false">IFERROR(__xludf.dummyfunction("""COMPUTED_VALUE"""),"AICI202101-5-2| 52. Preparar y organizar la documentacion a transferir de acuerdo a las tabla de retencion documental (hojas de vida equipos biomedicos dados de baja) (01/08/2021 - 31/12/2021)")</f>
        <v>AICI202101-5-2| 52. Preparar y organizar la documentacion a transferir de acuerdo a las tabla de retencion documental (hojas de vida equipos biomedicos dados de baja) (01/08/2021 - 31/12/2021)</v>
      </c>
      <c r="E27" s="0" t="str">
        <f aca="false">IFERROR(__xludf.dummyfunction("""COMPUTED_VALUE"""),"Se realizó el levamiento de inventario documental de los archivo de gestión conforme a la tablas de retención documental (hojas de vida equipos biomédicos dados de baja) y se preparó y organizo la documentación a transferir de acuerdo a las tabla de reten"&amp;"ción documental. Se anexa Acta de Baja de equipos Biomédicos.")</f>
        <v>Se realizó el levamiento de inventario documental de los archivo de gestión conforme a la tablas de retención documental (hojas de vida equipos biomédicos dados de baja) y se preparó y organizo la documentación a transferir de acuerdo a las tabla de retención documental. Se anexa Acta de Baja de equipos Biomédicos.</v>
      </c>
      <c r="F27" s="0" t="str">
        <f aca="false">IFERROR(__xludf.dummyfunction("""COMPUTED_VALUE"""),"Completo")</f>
        <v>Completo</v>
      </c>
      <c r="G27" s="20" t="str">
        <f aca="false">IFERROR(__xludf.dummyfunction("""COMPUTED_VALUE"""),"https://drive.google.com/open?id=1uQPmFJWiy5XVuQq2vF4ejn1F0izfYCpd")</f>
        <v>https://drive.google.com/open?id=1uQPmFJWiy5XVuQq2vF4ejn1F0izfYCpd</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hyperlinks>
    <hyperlink ref="G4" r:id="rId1" display="https://drive.google.com/open?id=1mjN0oLnNK0WAVejUKztGpNMaTQ-GUiDD"/>
    <hyperlink ref="G17" r:id="rId2" display="https://drive.google.com/open?id=1wFyEwDPObvVlm4F4f1Bv-1XdXXyS7AYo"/>
    <hyperlink ref="G27" r:id="rId3" display="https://drive.google.com/open?id=1uQPmFJWiy5XVuQq2vF4ejn1F0izfYCpd"/>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1802</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AICI202102-1-1-1</v>
      </c>
      <c r="B4" s="19" t="n">
        <f aca="false">IFERROR(__xludf.dummyfunction("""COMPUTED_VALUE"""),44519)</f>
        <v>44519</v>
      </c>
      <c r="C4" s="0" t="n">
        <f aca="false">IFERROR(__xludf.dummyfunction("""COMPUTED_VALUE"""),1)</f>
        <v>1</v>
      </c>
      <c r="D4" s="0" t="str">
        <f aca="false">IFERROR(__xludf.dummyfunction("""COMPUTED_VALUE"""),"AICI202102-1-1| Revisar, actualizar y normalizar la documentación que soporte las actividades y los procedimientos realizados en la oficina de Calidad alineados con la actualización de procesos realizada (08/11/2021 - 31/03/2022)")</f>
        <v>AICI202102-1-1| Revisar, actualizar y normalizar la documentación que soporte las actividades y los procedimientos realizados en la oficina de Calidad alineados con la actualización de procesos realizada (08/11/2021 - 31/03/2022)</v>
      </c>
      <c r="E4" s="0" t="str">
        <f aca="false">IFERROR(__xludf.dummyfunction("""COMPUTED_VALUE"""),"No iniciado")</f>
        <v>No iniciado</v>
      </c>
      <c r="F4" s="0" t="str">
        <f aca="false">IFERROR(__xludf.dummyfunction("""COMPUTED_VALUE"""),"No iniciado")</f>
        <v>No iniciado</v>
      </c>
    </row>
    <row r="5" customFormat="false" ht="14.25" hidden="false" customHeight="false" outlineLevel="0" collapsed="false">
      <c r="A5" s="18" t="str">
        <f aca="false">IFERROR(MID(D5,1,FIND("|",D5)-1)&amp;"-"&amp;C5,"")</f>
        <v>AICI202102-2-1-1</v>
      </c>
      <c r="B5" s="19" t="n">
        <f aca="false">IFERROR(__xludf.dummyfunction("""COMPUTED_VALUE"""),44519)</f>
        <v>44519</v>
      </c>
      <c r="C5" s="0" t="n">
        <f aca="false">IFERROR(__xludf.dummyfunction("""COMPUTED_VALUE"""),1)</f>
        <v>1</v>
      </c>
      <c r="D5" s="0" t="str">
        <f aca="false">IFERROR(__xludf.dummyfunction("""COMPUTED_VALUE"""),"AICI202102-2-1| Revisar, actualizar y normalizar la documentación que soporte las actividades y los procedimientos relacionadas con auditoría médica y PAMEC alineados con la actualización de procesos realizada (08/11/2021 - 31/03/2022)")</f>
        <v>AICI202102-2-1| Revisar, actualizar y normalizar la documentación que soporte las actividades y los procedimientos relacionadas con auditoría médica y PAMEC alineados con la actualización de procesos realizada (08/11/2021 - 31/03/2022)</v>
      </c>
      <c r="E5" s="0" t="str">
        <f aca="false">IFERROR(__xludf.dummyfunction("""COMPUTED_VALUE"""),"No iniciado")</f>
        <v>No iniciado</v>
      </c>
      <c r="F5" s="0" t="str">
        <f aca="false">IFERROR(__xludf.dummyfunction("""COMPUTED_VALUE"""),"No iniciado")</f>
        <v>No iniciado</v>
      </c>
    </row>
    <row r="6" customFormat="false" ht="14.25" hidden="false" customHeight="false" outlineLevel="0" collapsed="false">
      <c r="A6" s="18" t="str">
        <f aca="false">IFERROR(MID(D6,1,FIND("|",D6)-1)&amp;"-"&amp;C6,"")</f>
        <v>AICI202102-3-1-1</v>
      </c>
      <c r="B6" s="19" t="n">
        <f aca="false">IFERROR(__xludf.dummyfunction("""COMPUTED_VALUE"""),44519)</f>
        <v>44519</v>
      </c>
      <c r="C6" s="0" t="n">
        <f aca="false">IFERROR(__xludf.dummyfunction("""COMPUTED_VALUE"""),1)</f>
        <v>1</v>
      </c>
      <c r="D6" s="0" t="str">
        <f aca="false">IFERROR(__xludf.dummyfunction("""COMPUTED_VALUE"""),"AICI202102-3-1| Documentar y normalizar las actividades relacionadas con la emisión de conceptos médico científicos que incluya el registo y la trazabilidad para garantizar y respuesta oportuna y adecuada. (01/06/2021 - 31/08/2021)")</f>
        <v>AICI202102-3-1| Documentar y normalizar las actividades relacionadas con la emisión de conceptos médico científicos que incluya el registo y la trazabilidad para garantizar y respuesta oportuna y adecuada. (01/06/2021 - 31/08/2021)</v>
      </c>
      <c r="E6" s="0" t="str">
        <f aca="false">IFERROR(__xludf.dummyfunction("""COMPUTED_VALUE"""),"No se presentan soportes de avance de la acción")</f>
        <v>No se presentan soportes de avance de la acción</v>
      </c>
      <c r="F6" s="0" t="str">
        <f aca="false">IFERROR(__xludf.dummyfunction("""COMPUTED_VALUE"""),"Atrasado")</f>
        <v>Atrasado</v>
      </c>
    </row>
    <row r="7" customFormat="false" ht="14.25" hidden="false" customHeight="false" outlineLevel="0" collapsed="false">
      <c r="A7" s="18" t="str">
        <f aca="false">IFERROR(MID(D7,1,FIND("|",D7)-1)&amp;"-"&amp;C7,"")</f>
        <v>AICI202102-3-2-1</v>
      </c>
      <c r="B7" s="19" t="n">
        <f aca="false">IFERROR(__xludf.dummyfunction("""COMPUTED_VALUE"""),44519)</f>
        <v>44519</v>
      </c>
      <c r="C7" s="0" t="n">
        <f aca="false">IFERROR(__xludf.dummyfunction("""COMPUTED_VALUE"""),1)</f>
        <v>1</v>
      </c>
      <c r="D7" s="0" t="str">
        <f aca="false">IFERROR(__xludf.dummyfunction("""COMPUTED_VALUE"""),"AICI202102-3-2| Solicitar a Gestión documental capacitación en el manejo del archivo con base en los criterios establecidos. (01/06/2021 - 30/06/2021)")</f>
        <v>AICI202102-3-2| Solicitar a Gestión documental capacitación en el manejo del archivo con base en los criterios establecidos. (01/06/2021 - 30/06/2021)</v>
      </c>
      <c r="E7" s="0" t="str">
        <f aca="false">IFERROR(__xludf.dummyfunction("""COMPUTED_VALUE""")," Se presenta soporte de solicitud de capacitación a través de correo electrónico s a Gestión Documental sobre normas de archivo y gestión documental  ver soporte.")</f>
        <v> Se presenta soporte de solicitud de capacitación a través de correo electrónico s a Gestión Documental sobre normas de archivo y gestión documental  ver soporte.</v>
      </c>
      <c r="F7" s="0" t="str">
        <f aca="false">IFERROR(__xludf.dummyfunction("""COMPUTED_VALUE"""),"Completo")</f>
        <v>Completo</v>
      </c>
    </row>
    <row r="8" customFormat="false" ht="14.25" hidden="false" customHeight="false" outlineLevel="0" collapsed="false">
      <c r="A8" s="18" t="str">
        <f aca="false">IFERROR(MID(D8,1,FIND("|",D8)-1)&amp;"-"&amp;C8,"")</f>
        <v>AICI202102-3-3-1</v>
      </c>
      <c r="B8" s="19" t="n">
        <f aca="false">IFERROR(__xludf.dummyfunction("""COMPUTED_VALUE"""),44519)</f>
        <v>44519</v>
      </c>
      <c r="C8" s="0" t="n">
        <f aca="false">IFERROR(__xludf.dummyfunction("""COMPUTED_VALUE"""),1)</f>
        <v>1</v>
      </c>
      <c r="D8" s="0" t="str">
        <f aca="false">IFERROR(__xludf.dummyfunction("""COMPUTED_VALUE"""),"AICI202102-3-3| Realizar capacitación al personal de auditoría en el manejo del archivo con base en los criterios establecidos por gestión documental. (01/07/2021 - 30/07/2021)")</f>
        <v>AICI202102-3-3| Realizar capacitación al personal de auditoría en el manejo del archivo con base en los criterios establecidos por gestión documental. (01/07/2021 - 30/07/2021)</v>
      </c>
      <c r="E8" s="0" t="str">
        <f aca="false">IFERROR(__xludf.dummyfunction("""COMPUTED_VALUE"""),"Se refiere que la líder de Gestión Documental indicó que no es posible realizar capacitaciones en ese periodo, por lo cual no se pudo cumplir con la acción.")</f>
        <v>Se refiere que la líder de Gestión Documental indicó que no es posible realizar capacitaciones en ese periodo, por lo cual no se pudo cumplir con la acción.</v>
      </c>
      <c r="F8" s="0" t="str">
        <f aca="false">IFERROR(__xludf.dummyfunction("""COMPUTED_VALUE"""),"Atrasado")</f>
        <v>Atrasado</v>
      </c>
    </row>
    <row r="9" customFormat="false" ht="14.25" hidden="false" customHeight="false" outlineLevel="0" collapsed="false">
      <c r="A9" s="18" t="str">
        <f aca="false">IFERROR(MID(D9,1,FIND("|",D9)-1)&amp;"-"&amp;C9,"")</f>
        <v>AICI202102-3-4-1</v>
      </c>
      <c r="B9" s="19" t="n">
        <f aca="false">IFERROR(__xludf.dummyfunction("""COMPUTED_VALUE"""),44519)</f>
        <v>44519</v>
      </c>
      <c r="C9" s="0" t="n">
        <f aca="false">IFERROR(__xludf.dummyfunction("""COMPUTED_VALUE"""),1)</f>
        <v>1</v>
      </c>
      <c r="D9" s="0" t="str">
        <f aca="false">IFERROR(__xludf.dummyfunction("""COMPUTED_VALUE"""),"AICI202102-3-4| Realizar seguimiento a la implementación y cumplimiento de los los criterios de gestión documental para conservación de la información. (01/08/2021 - 31/12/2021)")</f>
        <v>AICI202102-3-4| Realizar seguimiento a la implementación y cumplimiento de los los criterios de gestión documental para conservación de la información. (01/08/2021 - 31/12/2021)</v>
      </c>
      <c r="E9" s="0" t="str">
        <f aca="false">IFERROR(__xludf.dummyfunction("""COMPUTED_VALUE"""),"No se puede hacer seguimiento indicado en la acción, porque no se ha dado la capacitación de gestión documental.")</f>
        <v>No se puede hacer seguimiento indicado en la acción, porque no se ha dado la capacitación de gestión documental.</v>
      </c>
      <c r="F9" s="0" t="str">
        <f aca="false">IFERROR(__xludf.dummyfunction("""COMPUTED_VALUE"""),"En desarrollo")</f>
        <v>En desarrollo</v>
      </c>
    </row>
    <row r="10" customFormat="false" ht="14.25" hidden="false" customHeight="false" outlineLevel="0" collapsed="false">
      <c r="A10" s="18" t="str">
        <f aca="false">IFERROR(MID(D10,1,FIND("|",D10)-1)&amp;"-"&amp;C10,"")</f>
        <v>AICI202102-4-1-1</v>
      </c>
      <c r="B10" s="19" t="n">
        <f aca="false">IFERROR(__xludf.dummyfunction("""COMPUTED_VALUE"""),44523)</f>
        <v>44523</v>
      </c>
      <c r="C10" s="0" t="n">
        <f aca="false">IFERROR(__xludf.dummyfunction("""COMPUTED_VALUE"""),1)</f>
        <v>1</v>
      </c>
      <c r="D10" s="0" t="str">
        <f aca="false">IFERROR(__xludf.dummyfunction("""COMPUTED_VALUE"""),"AICI202102-4-1| Revisar, actualizar y normalizar la documentación que soporte las actividades del procedimiento de habilitación realizadas en la oficina de Calidad. (01/06/2021 - 31/08/2021)")</f>
        <v>AICI202102-4-1| Revisar, actualizar y normalizar la documentación que soporte las actividades del procedimiento de habilitación realizadas en la oficina de Calidad. (01/06/2021 - 31/08/2021)</v>
      </c>
      <c r="E10" s="0" t="str">
        <f aca="false">IFERROR(__xludf.dummyfunction("""COMPUTED_VALUE"""),"Se informa que  se  actualizaron los documentos: INSTRUCTIVO PARA SOLICITUD DE NOVEDADES DEL SISTEMA ÚNICO DE HABILITACIÓN Y ACTUALIZACIÓN DEL PORTAFOLIO DE SERVICIOS CÓDIGO ES-GC-I-01-06 (soporte 3) y Formato SOLICITUD  NOVEDADES SISTEMA UNICO DE HABILIT"&amp;"ACION CÓDIGO ES-GC-F-13-03 (soporte 4),pero no se hace referencia a la actualización de los formatos de autoevaluación  de habilitación y seguimiento, mencionados en el hallazgo. Por lo tanto no se evidencia cabal cumplimiento a la acción")</f>
        <v>Se informa que  se  actualizaron los documentos: INSTRUCTIVO PARA SOLICITUD DE NOVEDADES DEL SISTEMA ÚNICO DE HABILITACIÓN Y ACTUALIZACIÓN DEL PORTAFOLIO DE SERVICIOS CÓDIGO ES-GC-I-01-06 (soporte 3) y Formato SOLICITUD  NOVEDADES SISTEMA UNICO DE HABILITACION CÓDIGO ES-GC-F-13-03 (soporte 4),pero no se hace referencia a la actualización de los formatos de autoevaluación  de habilitación y seguimiento, mencionados en el hallazgo. Por lo tanto no se evidencia cabal cumplimiento a la acción</v>
      </c>
      <c r="F10" s="0" t="str">
        <f aca="false">IFERROR(__xludf.dummyfunction("""COMPUTED_VALUE"""),"Atrasado")</f>
        <v>Atrasado</v>
      </c>
    </row>
    <row r="11" customFormat="false" ht="14.25" hidden="false" customHeight="false" outlineLevel="0" collapsed="false">
      <c r="A11" s="18" t="str">
        <f aca="false">IFERROR(MID(D11,1,FIND("|",D11)-1)&amp;"-"&amp;C11,"")</f>
        <v>AICI202102-5-1-1</v>
      </c>
      <c r="B11" s="19" t="n">
        <f aca="false">IFERROR(__xludf.dummyfunction("""COMPUTED_VALUE"""),44523)</f>
        <v>44523</v>
      </c>
      <c r="C11" s="0" t="n">
        <f aca="false">IFERROR(__xludf.dummyfunction("""COMPUTED_VALUE"""),1)</f>
        <v>1</v>
      </c>
      <c r="D11" s="0" t="str">
        <f aca="false">IFERROR(__xludf.dummyfunction("""COMPUTED_VALUE"""),"AICI202102-5-1| Establecer un mecanismo eficaz de comunicación entre auditoría concurrente y planes de mejora para la gestión de hallazgos reiterativos y la verificación del cumplimiento de las acciones (mesa de trabajo para análisis - definición de herra"&amp;"mientas - documentación). (01/06/2021 - 31/07/2021)")</f>
        <v>AICI202102-5-1| Establecer un mecanismo eficaz de comunicación entre auditoría concurrente y planes de mejora para la gestión de hallazgos reiterativos y la verificación del cumplimiento de las acciones (mesa de trabajo para análisis - definición de herramientas - documentación). (01/06/2021 - 31/07/2021)</v>
      </c>
      <c r="E11" s="0" t="str">
        <f aca="false">IFERROR(__xludf.dummyfunction("""COMPUTED_VALUE"""),"Se presentó como soporte  el acta de reunión realizada entre el gestor de auditoría y la profesional de planes de mejoramiento, en esta reunión se informa que se realizó revisión de los planes de mejoramiento existentes en el plan de mejora institucional,"&amp;" para identificar acciones abiertas de vigencias 2019 -2020 y hacer seguimiento, se priorizó hospitalización de manera que los auditores concurrentes hicieran seguimiento. Se refiere que este tipo de seguimiento se incluirá en el instructivo de gestión de"&amp;" planes de mejora. 
La no conformidad, está haciendo referencia a los ""hallazgos de la auditoría concurrente"" y la generación de planes de mejora cuando estos son reiterativos, es decir  que el tema no es hacer seguimiento a las acciones del plan de mej"&amp;"ora institucional, sino incluir los hallazgos de los auditores concurrentes en el plan de mejora. Por lo tanto no se cumple con el objetivo de la acción.")</f>
        <v>Se presentó como soporte  el acta de reunión realizada entre el gestor de auditoría y la profesional de planes de mejoramiento, en esta reunión se informa que se realizó revisión de los planes de mejoramiento existentes en el plan de mejora institucional, para identificar acciones abiertas de vigencias 2019 -2020 y hacer seguimiento, se priorizó hospitalización de manera que los auditores concurrentes hicieran seguimiento. Se refiere que este tipo de seguimiento se incluirá en el instructivo de gestión de planes de mejora. 
La no conformidad, está haciendo referencia a los "hallazgos de la auditoría concurrente" y la generación de planes de mejora cuando estos son reiterativos, es decir  que el tema no es hacer seguimiento a las acciones del plan de mejora institucional, sino incluir los hallazgos de los auditores concurrentes en el plan de mejora. Por lo tanto no se cumple con el objetivo de la acción.</v>
      </c>
      <c r="F11" s="0" t="str">
        <f aca="false">IFERROR(__xludf.dummyfunction("""COMPUTED_VALUE"""),"Atrasado")</f>
        <v>Atrasado</v>
      </c>
    </row>
    <row r="12" customFormat="false" ht="14.25" hidden="false" customHeight="false" outlineLevel="0" collapsed="false">
      <c r="A12" s="18" t="str">
        <f aca="false">IFERROR(MID(D12,1,FIND("|",D12)-1)&amp;"-"&amp;C12,"")</f>
        <v>AICI202102-5-2-1</v>
      </c>
      <c r="B12" s="19" t="n">
        <f aca="false">IFERROR(__xludf.dummyfunction("""COMPUTED_VALUE"""),44523)</f>
        <v>44523</v>
      </c>
      <c r="C12" s="0" t="n">
        <f aca="false">IFERROR(__xludf.dummyfunction("""COMPUTED_VALUE"""),1)</f>
        <v>1</v>
      </c>
      <c r="D12" s="0" t="str">
        <f aca="false">IFERROR(__xludf.dummyfunction("""COMPUTED_VALUE"""),"AICI202102-5-2| Documentar, socializar e implementar el mecanismo definido. (01/08/2021 - 28/02/2022)")</f>
        <v>AICI202102-5-2| Documentar, socializar e implementar el mecanismo definido. (01/08/2021 - 28/02/2022)</v>
      </c>
      <c r="E12" s="0" t="str">
        <f aca="false">IFERROR(__xludf.dummyfunction("""COMPUTED_VALUE"""),"Se informa que el instructivo de Gestión de Planes de mejora  está en actualización, pero teniendo en cuenta la explicación del punto anterior, el mecanismo no cumple con el objetivo y por lo tanto el documento tampoco.")</f>
        <v>Se informa que el instructivo de Gestión de Planes de mejora  está en actualización, pero teniendo en cuenta la explicación del punto anterior, el mecanismo no cumple con el objetivo y por lo tanto el documento tampoco.</v>
      </c>
      <c r="F12" s="0" t="str">
        <f aca="false">IFERROR(__xludf.dummyfunction("""COMPUTED_VALUE"""),"Atrasado")</f>
        <v>Atrasado</v>
      </c>
    </row>
    <row r="13" customFormat="false" ht="14.25" hidden="false" customHeight="false" outlineLevel="0" collapsed="false">
      <c r="A13" s="18" t="str">
        <f aca="false">IFERROR(MID(D13,1,FIND("|",D13)-1)&amp;"-"&amp;C13,"")</f>
        <v>AICI202102-5-3-1</v>
      </c>
      <c r="B13" s="19" t="n">
        <f aca="false">IFERROR(__xludf.dummyfunction("""COMPUTED_VALUE"""),44523)</f>
        <v>44523</v>
      </c>
      <c r="C13" s="0" t="n">
        <f aca="false">IFERROR(__xludf.dummyfunction("""COMPUTED_VALUE"""),1)</f>
        <v>1</v>
      </c>
      <c r="D13" s="0" t="str">
        <f aca="false">IFERROR(__xludf.dummyfunction("""COMPUTED_VALUE"""),"AICI202102-5-3| Actualizar el informe de auditoría concurrente a la atención COVID con datos de 2021 y generar el plan de mejora. (01/06/2021 - 31/07/2021)")</f>
        <v>AICI202102-5-3| Actualizar el informe de auditoría concurrente a la atención COVID con datos de 2021 y generar el plan de mejora. (01/06/2021 - 31/07/2021)</v>
      </c>
      <c r="E13" s="0" t="str">
        <f aca="false">IFERROR(__xludf.dummyfunction("""COMPUTED_VALUE"""),"No se refieren avances de esta acción.")</f>
        <v>No se refieren avances de esta acción.</v>
      </c>
      <c r="F13" s="0" t="str">
        <f aca="false">IFERROR(__xludf.dummyfunction("""COMPUTED_VALUE"""),"Atrasado")</f>
        <v>Atrasado</v>
      </c>
    </row>
    <row r="14" customFormat="false" ht="14.25" hidden="false" customHeight="false" outlineLevel="0" collapsed="false">
      <c r="A14" s="18" t="str">
        <f aca="false">IFERROR(MID(D14,1,FIND("|",D14)-1)&amp;"-"&amp;C14,"")</f>
        <v>AICI202102-6-1-1</v>
      </c>
      <c r="B14" s="19" t="n">
        <f aca="false">IFERROR(__xludf.dummyfunction("""COMPUTED_VALUE"""),44523)</f>
        <v>44523</v>
      </c>
      <c r="C14" s="0" t="n">
        <f aca="false">IFERROR(__xludf.dummyfunction("""COMPUTED_VALUE"""),1)</f>
        <v>1</v>
      </c>
      <c r="D14" s="0" t="str">
        <f aca="false">IFERROR(__xludf.dummyfunction("""COMPUTED_VALUE"""),"AICI202102-6-1| Generar un comunicado para los directores y líderes de servicios donde se reitere que las actas de las visitas y/o auditoría recibidas sean remitidas a la oficina de Calidad. (01/06/2021 - 31/07/2021)")</f>
        <v>AICI202102-6-1| Generar un comunicado para los directores y líderes de servicios donde se reitere que las actas de las visitas y/o auditoría recibidas sean remitidas a la oficina de Calidad. (01/06/2021 - 31/07/2021)</v>
      </c>
      <c r="E14" s="0" t="str">
        <f aca="false">IFERROR(__xludf.dummyfunction("""COMPUTED_VALUE"""),"Se envió copia de un chat enviado a la jefe de calidad  el cual se solicita que todas las actas de visitas que se reciban se envíen a al correo de plandemejoramiento@subrednorte.gov.co.
Se considera que un mensaje a través de chat a la jefatura de Calidad"&amp;" no tiene el debido nivel de formalidad  para la divulgación de la información relativa a los planes de mejora, ni tampoco evidencia la divulgación del tema a directores y líderes  de servicios.  Por lo tanto no se está dando cabal cumplimiento a la acció"&amp;"n.")</f>
        <v>Se envió copia de un chat enviado a la jefe de calidad  el cual se solicita que todas las actas de visitas que se reciban se envíen a al correo de plandemejoramiento@subrednorte.gov.co.
Se considera que un mensaje a través de chat a la jefatura de Calidad no tiene el debido nivel de formalidad  para la divulgación de la información relativa a los planes de mejora, ni tampoco evidencia la divulgación del tema a directores y líderes  de servicios.  Por lo tanto no se está dando cabal cumplimiento a la acción.</v>
      </c>
      <c r="F14" s="0" t="str">
        <f aca="false">IFERROR(__xludf.dummyfunction("""COMPUTED_VALUE"""),"Atrasado")</f>
        <v>Atrasado</v>
      </c>
    </row>
    <row r="15" customFormat="false" ht="14.25" hidden="false" customHeight="false" outlineLevel="0" collapsed="false">
      <c r="A15" s="18" t="str">
        <f aca="false">IFERROR(MID(D15,1,FIND("|",D15)-1)&amp;"-"&amp;C15,"")</f>
        <v>AICI202102-6-2-1</v>
      </c>
      <c r="B15" s="19" t="n">
        <f aca="false">IFERROR(__xludf.dummyfunction("""COMPUTED_VALUE"""),44523)</f>
        <v>44523</v>
      </c>
      <c r="C15" s="0" t="n">
        <f aca="false">IFERROR(__xludf.dummyfunction("""COMPUTED_VALUE"""),1)</f>
        <v>1</v>
      </c>
      <c r="D15" s="0" t="str">
        <f aca="false">IFERROR(__xludf.dummyfunction("""COMPUTED_VALUE"""),"AICI202102-6-2| Definir un mecanismo que facilite la interacción con auditoría (concurrente y paciente trazador) para realizar la verificación de cumplimiento de las acciones propuestas en los servicios. (01/08/2021 - 31/12/2021)")</f>
        <v>AICI202102-6-2| Definir un mecanismo que facilite la interacción con auditoría (concurrente y paciente trazador) para realizar la verificación de cumplimiento de las acciones propuestas en los servicios. (01/08/2021 - 31/12/2021)</v>
      </c>
      <c r="E15" s="0" t="str">
        <f aca="false">IFERROR(__xludf.dummyfunction("""COMPUTED_VALUE"""),"Se presenta como soporte acta de reunión entre gestor de auditoría y profesional de mejoramiento, pero en dicha reunión no se menciona el tema de paciente trazador, por lo tanto no hay evidencia de avance de la acción.")</f>
        <v>Se presenta como soporte acta de reunión entre gestor de auditoría y profesional de mejoramiento, pero en dicha reunión no se menciona el tema de paciente trazador, por lo tanto no hay evidencia de avance de la acción.</v>
      </c>
      <c r="F15" s="0" t="str">
        <f aca="false">IFERROR(__xludf.dummyfunction("""COMPUTED_VALUE"""),"En desarrollo")</f>
        <v>En desarrollo</v>
      </c>
    </row>
    <row r="16" customFormat="false" ht="14.25" hidden="false" customHeight="false" outlineLevel="0" collapsed="false">
      <c r="A16" s="18" t="str">
        <f aca="false">IFERROR(MID(D16,1,FIND("|",D16)-1)&amp;"-"&amp;C16,"")</f>
        <v>AICI202102-7-1-1</v>
      </c>
      <c r="B16" s="19" t="n">
        <f aca="false">IFERROR(__xludf.dummyfunction("""COMPUTED_VALUE"""),44523)</f>
        <v>44523</v>
      </c>
      <c r="C16" s="0" t="n">
        <f aca="false">IFERROR(__xludf.dummyfunction("""COMPUTED_VALUE"""),1)</f>
        <v>1</v>
      </c>
      <c r="D16" s="0" t="str">
        <f aca="false">IFERROR(__xludf.dummyfunction("""COMPUTED_VALUE"""),"AICI202102-7-1| Definir mecanismo para seguimiento y verificación de la impementación eficaz de las acciones articulado con auditoría (concurrente y paciente trazador). (01/06/2021 - 31/12/2021)")</f>
        <v>AICI202102-7-1| Definir mecanismo para seguimiento y verificación de la impementación eficaz de las acciones articulado con auditoría (concurrente y paciente trazador). (01/06/2021 - 31/12/2021)</v>
      </c>
      <c r="E16" s="0" t="str">
        <f aca="false">IFERROR(__xludf.dummyfunction("""COMPUTED_VALUE"""),"Se presenta como soporte acta de reunión entre gestor de auditoría y profesional de mejoramiento, pero en dicha reunión no se menciona el tema de paciente trazador, por lo tanto no hay evidencia de avance de la acción.")</f>
        <v>Se presenta como soporte acta de reunión entre gestor de auditoría y profesional de mejoramiento, pero en dicha reunión no se menciona el tema de paciente trazador, por lo tanto no hay evidencia de avance de la acción.</v>
      </c>
      <c r="F16" s="0" t="str">
        <f aca="false">IFERROR(__xludf.dummyfunction("""COMPUTED_VALUE"""),"En desarrollo")</f>
        <v>En desarrollo</v>
      </c>
    </row>
    <row r="17" customFormat="false" ht="14.25" hidden="false" customHeight="false" outlineLevel="0" collapsed="false">
      <c r="A17" s="18" t="str">
        <f aca="false">IFERROR(MID(D17,1,FIND("|",D17)-1)&amp;"-"&amp;C17,"")</f>
        <v>AICI202102-8-1-1</v>
      </c>
      <c r="B17" s="19" t="n">
        <f aca="false">IFERROR(__xludf.dummyfunction("""COMPUTED_VALUE"""),44523)</f>
        <v>44523</v>
      </c>
      <c r="C17" s="0" t="n">
        <f aca="false">IFERROR(__xludf.dummyfunction("""COMPUTED_VALUE"""),1)</f>
        <v>1</v>
      </c>
      <c r="D17" s="0" t="str">
        <f aca="false">IFERROR(__xludf.dummyfunction("""COMPUTED_VALUE"""),"AICI202102-8-1| Validar la adecuación de la matriz existente para facilitar y garantizar el registro, monitoreo y control del cumplimiento de los requisitos de habilitación según Res. 3100 de 2019 y hacer los ajustes necesarios e implementarlos. (01/06/20"&amp;"21 - 31/08/2021)")</f>
        <v>AICI202102-8-1| Validar la adecuación de la matriz existente para facilitar y garantizar el registro, monitoreo y control del cumplimiento de los requisitos de habilitación según Res. 3100 de 2019 y hacer los ajustes necesarios e implementarlos. (01/06/2021 - 31/08/2021)</v>
      </c>
      <c r="E17" s="0" t="str">
        <f aca="false">IFERROR(__xludf.dummyfunction("""COMPUTED_VALUE"""),"Se presenta como soporte la HERRAMIENTA DE VERIFICACIÓN DE CUMPLIMIENTO DEL SUH CÓDIGO ES-GC-F-110-01normalizada.  
El hallazgo hace referencia a la existencia de un mecanismo que permita consignar, monitorear y controlar de manera rápida el estado actual"&amp;" del cumplimiento de los requisitos de habilitación de todos los estándares de habilitación de todas las sedes, según requisitos de la resolución 3100 de 2019, para facilitar la toma de decisiones sobre intervenciones a realizar desde el punto de vista ad"&amp;"ministrativo o gerencial. Por lo tanto la sola matriz normalizada, no es una evidencia de que efectivamente se está monitoreando de  manera eficaz el el cumplimiento de los requisitos de habilitación en todas las sedes por lo cual no se está dando cumplim"&amp;"iento.")</f>
        <v>Se presenta como soporte la HERRAMIENTA DE VERIFICACIÓN DE CUMPLIMIENTO DEL SUH CÓDIGO ES-GC-F-110-01normalizada.  
El hallazgo hace referencia a la existencia de un mecanismo que permita consignar, monitorear y controlar de manera rápida el estado actual del cumplimiento de los requisitos de habilitación de todos los estándares de habilitación de todas las sedes, según requisitos de la resolución 3100 de 2019, para facilitar la toma de decisiones sobre intervenciones a realizar desde el punto de vista administrativo o gerencial. Por lo tanto la sola matriz normalizada, no es una evidencia de que efectivamente se está monitoreando de  manera eficaz el el cumplimiento de los requisitos de habilitación en todas las sedes por lo cual no se está dando cumplimiento.</v>
      </c>
      <c r="F17" s="0" t="str">
        <f aca="false">IFERROR(__xludf.dummyfunction("""COMPUTED_VALUE"""),"Atrasado")</f>
        <v>Atrasado</v>
      </c>
    </row>
    <row r="18" customFormat="false" ht="14.25" hidden="false" customHeight="false" outlineLevel="0" collapsed="false">
      <c r="A18" s="18" t="str">
        <f aca="false">IFERROR(MID(D18,1,FIND("|",D18)-1)&amp;"-"&amp;C18,"")</f>
        <v>AICI202102-9-1-1</v>
      </c>
      <c r="B18" s="19" t="n">
        <f aca="false">IFERROR(__xludf.dummyfunction("""COMPUTED_VALUE"""),44523)</f>
        <v>44523</v>
      </c>
      <c r="C18" s="0" t="n">
        <f aca="false">IFERROR(__xludf.dummyfunction("""COMPUTED_VALUE"""),1)</f>
        <v>1</v>
      </c>
      <c r="D18" s="0" t="str">
        <f aca="false">IFERROR(__xludf.dummyfunction("""COMPUTED_VALUE"""),"AICI202102-9-1| Documentar y normalizar las actividades, responsables y tiempos para el lincenciamiento de los equipos generadores de radiaciones ionizantes. (01/06/2021 - 31/07/2021)")</f>
        <v>AICI202102-9-1| Documentar y normalizar las actividades, responsables y tiempos para el lincenciamiento de los equipos generadores de radiaciones ionizantes. (01/06/2021 - 31/07/2021)</v>
      </c>
      <c r="E18" s="0" t="str">
        <f aca="false">IFERROR(__xludf.dummyfunction("""COMPUTED_VALUE"""),"Se presenta INSTRUCTIVO DE LICENCIAS DE PRACTICA MEDICA EQUIPOS GENERADORES DE RADIACIÓN IONIZANTE ES-GC-I-36-01, se anexa soporte. Se cumple con la acción. ")</f>
        <v>Se presenta INSTRUCTIVO DE LICENCIAS DE PRACTICA MEDICA EQUIPOS GENERADORES DE RADIACIÓN IONIZANTE ES-GC-I-36-01, se anexa soporte. Se cumple con la acción. </v>
      </c>
      <c r="F18" s="0" t="str">
        <f aca="false">IFERROR(__xludf.dummyfunction("""COMPUTED_VALUE"""),"Completo")</f>
        <v>Completo</v>
      </c>
    </row>
    <row r="19" customFormat="false" ht="14.25" hidden="false" customHeight="false" outlineLevel="0" collapsed="false">
      <c r="A19" s="18" t="str">
        <f aca="false">IFERROR(MID(D19,1,FIND("|",D19)-1)&amp;"-"&amp;C19,"")</f>
        <v>AICI202102-9-2-1</v>
      </c>
      <c r="B19" s="19" t="n">
        <f aca="false">IFERROR(__xludf.dummyfunction("""COMPUTED_VALUE"""),44523)</f>
        <v>44523</v>
      </c>
      <c r="C19" s="0" t="n">
        <f aca="false">IFERROR(__xludf.dummyfunction("""COMPUTED_VALUE"""),1)</f>
        <v>1</v>
      </c>
      <c r="D19" s="0" t="str">
        <f aca="false">IFERROR(__xludf.dummyfunction("""COMPUTED_VALUE"""),"AICI202102-9-2| Realizar mesa de trabajo con las áreas involucradas (Subgerencia de prestación de servicios, Imagenología, Ingeniería Biomédica, Infraestructura) para socializar el documento generado con sus lineamientos y asignación de responsabilidades "&amp;"a Subgerencia de Prestación de Servicios, Ingeniería Biomédica, Imagenología, Infraestructura y Calidad dentro de la gestión para la expedición de las licencias de equipos generadores de radiaciones ionizantes. (01/08/2021 - 31/08/2021)")</f>
        <v>AICI202102-9-2| Realizar mesa de trabajo con las áreas involucradas (Subgerencia de prestación de servicios, Imagenología, Ingeniería Biomédica, Infraestructura) para socializar el documento generado con sus lineamientos y asignación de responsabilidades a Subgerencia de Prestación de Servicios, Ingeniería Biomédica, Imagenología, Infraestructura y Calidad dentro de la gestión para la expedición de las licencias de equipos generadores de radiaciones ionizantes. (01/08/2021 - 31/08/2021)</v>
      </c>
      <c r="E19" s="0" t="str">
        <f aca="false">IFERROR(__xludf.dummyfunction("""COMPUTED_VALUE"""),"No se refieren avances de esta acción")</f>
        <v>No se refieren avances de esta acción</v>
      </c>
      <c r="F19" s="0" t="str">
        <f aca="false">IFERROR(__xludf.dummyfunction("""COMPUTED_VALUE"""),"Atrasado")</f>
        <v>Atrasado</v>
      </c>
    </row>
    <row r="20" customFormat="false" ht="14.25" hidden="false" customHeight="false" outlineLevel="0" collapsed="false">
      <c r="A20" s="18" t="str">
        <f aca="false">IFERROR(MID(D20,1,FIND("|",D20)-1)&amp;"-"&amp;C20,"")</f>
        <v>AICI202102-9-3-1</v>
      </c>
      <c r="B20" s="19" t="n">
        <f aca="false">IFERROR(__xludf.dummyfunction("""COMPUTED_VALUE"""),44523)</f>
        <v>44523</v>
      </c>
      <c r="C20" s="0" t="n">
        <f aca="false">IFERROR(__xludf.dummyfunction("""COMPUTED_VALUE"""),1)</f>
        <v>1</v>
      </c>
      <c r="D20" s="0" t="str">
        <f aca="false">IFERROR(__xludf.dummyfunction("""COMPUTED_VALUE"""),"AICI202102-9-3| Hacer seguimiento al cumplimiento oportuno de las actividades para la obtención y actualización de las licencias de los de equipos generadores de radiaciones ionizantes. (01/09/2021 - 31/12/2021)")</f>
        <v>AICI202102-9-3| Hacer seguimiento al cumplimiento oportuno de las actividades para la obtención y actualización de las licencias de los de equipos generadores de radiaciones ionizantes. (01/09/2021 - 31/12/2021)</v>
      </c>
      <c r="E20" s="0" t="str">
        <f aca="false">IFERROR(__xludf.dummyfunction("""COMPUTED_VALUE"""),"Se cuenta con matriz de seguimiento actualizada a 14/09/2021. Se anexa soporte")</f>
        <v>Se cuenta con matriz de seguimiento actualizada a 14/09/2021. Se anexa soporte</v>
      </c>
      <c r="F20" s="0" t="str">
        <f aca="false">IFERROR(__xludf.dummyfunction("""COMPUTED_VALUE"""),"En desarrollo")</f>
        <v>En desarrollo</v>
      </c>
    </row>
    <row r="21" customFormat="false" ht="14.25" hidden="false" customHeight="false" outlineLevel="0" collapsed="false">
      <c r="A21" s="18" t="str">
        <f aca="false">IFERROR(MID(D21,1,FIND("|",D21)-1)&amp;"-"&amp;C21,"")</f>
        <v>AICI202102-10-1-1</v>
      </c>
      <c r="B21" s="19" t="n">
        <f aca="false">IFERROR(__xludf.dummyfunction("""COMPUTED_VALUE"""),44523)</f>
        <v>44523</v>
      </c>
      <c r="C21" s="0" t="n">
        <f aca="false">IFERROR(__xludf.dummyfunction("""COMPUTED_VALUE"""),1)</f>
        <v>1</v>
      </c>
      <c r="D21" s="0" t="str">
        <f aca="false">IFERROR(__xludf.dummyfunction("""COMPUTED_VALUE"""),"AICI202102-10-1| Revisar la adecuación de los formatos existentes para el seguimiento a autos comisorios, realizar los ajustes necesarios e implementarlos. (01/06/2021 - 31/08/2021)")</f>
        <v>AICI202102-10-1| Revisar la adecuación de los formatos existentes para el seguimiento a autos comisorios, realizar los ajustes necesarios e implementarlos. (01/06/2021 - 31/08/2021)</v>
      </c>
      <c r="E21" s="0" t="str">
        <f aca="false">IFERROR(__xludf.dummyfunction("""COMPUTED_VALUE"""),"Se evidencia acta de reunión con Jurídica para revisión de autos comisorios (ver soporte) y se determina el uso de la matriz para el registro de los autos comisorios (ver soporte )")</f>
        <v>Se evidencia acta de reunión con Jurídica para revisión de autos comisorios (ver soporte) y se determina el uso de la matriz para el registro de los autos comisorios (ver soporte )</v>
      </c>
      <c r="F21" s="0" t="str">
        <f aca="false">IFERROR(__xludf.dummyfunction("""COMPUTED_VALUE"""),"Completo")</f>
        <v>Completo</v>
      </c>
    </row>
    <row r="22" customFormat="false" ht="14.25" hidden="false" customHeight="false" outlineLevel="0" collapsed="false">
      <c r="A22" s="18" t="str">
        <f aca="false">IFERROR(MID(D22,1,FIND("|",D22)-1)&amp;"-"&amp;C22,"")</f>
        <v>AICI202102-10-2-1</v>
      </c>
      <c r="B22" s="19" t="n">
        <f aca="false">IFERROR(__xludf.dummyfunction("""COMPUTED_VALUE"""),44523)</f>
        <v>44523</v>
      </c>
      <c r="C22" s="0" t="n">
        <f aca="false">IFERROR(__xludf.dummyfunction("""COMPUTED_VALUE"""),1)</f>
        <v>1</v>
      </c>
      <c r="D22" s="0" t="str">
        <f aca="false">IFERROR(__xludf.dummyfunction("""COMPUTED_VALUE"""),"AICI202102-10-2| Elaborar circular informativa para que los servicios y/o procesos remitan las actas de visitas o auditorías hechas por los entes de control a la oficina de Calidad para establecer plan de intervención o mejora, hacer seguimiento y estruct"&amp;"urar matriz y base documental de visitas de entes que generen investigaciones administrativas. (01/06/2021 - 31/08/2021)")</f>
        <v>AICI202102-10-2| Elaborar circular informativa para que los servicios y/o procesos remitan las actas de visitas o auditorías hechas por los entes de control a la oficina de Calidad para establecer plan de intervención o mejora, hacer seguimiento y estructurar matriz y base documental de visitas de entes que generen investigaciones administrativas. (01/06/2021 - 31/08/2021)</v>
      </c>
      <c r="E22" s="0" t="str">
        <f aca="false">IFERROR(__xludf.dummyfunction("""COMPUTED_VALUE"""),"No se refieren avances de esta acción.")</f>
        <v>No se refieren avances de esta acción.</v>
      </c>
      <c r="F22" s="0" t="str">
        <f aca="false">IFERROR(__xludf.dummyfunction("""COMPUTED_VALUE"""),"Atrasado")</f>
        <v>Atrasado</v>
      </c>
    </row>
    <row r="23" customFormat="false" ht="14.25" hidden="false" customHeight="false" outlineLevel="0" collapsed="false">
      <c r="A23" s="18" t="str">
        <f aca="false">IFERROR(MID(D23,1,FIND("|",D23)-1)&amp;"-"&amp;C23,"")</f>
        <v>AICI202102-11-1-1</v>
      </c>
      <c r="B23" s="19" t="n">
        <f aca="false">IFERROR(__xludf.dummyfunction("""COMPUTED_VALUE"""),44523)</f>
        <v>44523</v>
      </c>
      <c r="C23" s="0" t="n">
        <f aca="false">IFERROR(__xludf.dummyfunction("""COMPUTED_VALUE"""),1)</f>
        <v>1</v>
      </c>
      <c r="D23" s="0" t="str">
        <f aca="false">IFERROR(__xludf.dummyfunction("""COMPUTED_VALUE"""),"AICI202102-11-1| Solicitar a Gestión documental capacitación en el manejo del archivo con base en los criterios establecidos. (01/06/2021 - 30/06/2021)")</f>
        <v>AICI202102-11-1| Solicitar a Gestión documental capacitación en el manejo del archivo con base en los criterios establecidos. (01/06/2021 - 30/06/2021)</v>
      </c>
      <c r="E23" s="0" t="str">
        <f aca="false">IFERROR(__xludf.dummyfunction("""COMPUTED_VALUE"""),"Se presenta soporte de solicitud de capacitación a través de correo electrónico s a Gestión Documental sobre normas de archivo y gestión documental  ver soporte.")</f>
        <v>Se presenta soporte de solicitud de capacitación a través de correo electrónico s a Gestión Documental sobre normas de archivo y gestión documental  ver soporte.</v>
      </c>
      <c r="F23" s="0" t="str">
        <f aca="false">IFERROR(__xludf.dummyfunction("""COMPUTED_VALUE"""),"Completo")</f>
        <v>Completo</v>
      </c>
    </row>
    <row r="24" customFormat="false" ht="14.25" hidden="false" customHeight="false" outlineLevel="0" collapsed="false">
      <c r="A24" s="18" t="str">
        <f aca="false">IFERROR(MID(D24,1,FIND("|",D24)-1)&amp;"-"&amp;C24,"")</f>
        <v>AICI202102-11-2-1</v>
      </c>
      <c r="B24" s="19" t="n">
        <f aca="false">IFERROR(__xludf.dummyfunction("""COMPUTED_VALUE"""),44523)</f>
        <v>44523</v>
      </c>
      <c r="C24" s="0" t="n">
        <f aca="false">IFERROR(__xludf.dummyfunction("""COMPUTED_VALUE"""),1)</f>
        <v>1</v>
      </c>
      <c r="D24" s="0" t="str">
        <f aca="false">IFERROR(__xludf.dummyfunction("""COMPUTED_VALUE"""),"AICI202102-11-2| Realizar capacitación al personal de habilitación en el manejo del archivo con base en los criterios establecidos por gestión documental. (01/07/2021 - 30/07/2021)")</f>
        <v>AICI202102-11-2| Realizar capacitación al personal de habilitación en el manejo del archivo con base en los criterios establecidos por gestión documental. (01/07/2021 - 30/07/2021)</v>
      </c>
      <c r="E24" s="0" t="str">
        <f aca="false">IFERROR(__xludf.dummyfunction("""COMPUTED_VALUE"""),"Se refiere que la líder de Gestión Documental indicó que no es posible realizar capacitaciones en ese periodo, por lo cual no se pudo cumplir con la acción.")</f>
        <v>Se refiere que la líder de Gestión Documental indicó que no es posible realizar capacitaciones en ese periodo, por lo cual no se pudo cumplir con la acción.</v>
      </c>
      <c r="F24" s="0" t="str">
        <f aca="false">IFERROR(__xludf.dummyfunction("""COMPUTED_VALUE"""),"Atrasado")</f>
        <v>Atrasado</v>
      </c>
    </row>
    <row r="25" customFormat="false" ht="14.25" hidden="false" customHeight="false" outlineLevel="0" collapsed="false">
      <c r="A25" s="18" t="str">
        <f aca="false">IFERROR(MID(D25,1,FIND("|",D25)-1)&amp;"-"&amp;C25,"")</f>
        <v>AICI202102-11-3-1</v>
      </c>
      <c r="B25" s="19" t="n">
        <f aca="false">IFERROR(__xludf.dummyfunction("""COMPUTED_VALUE"""),44523)</f>
        <v>44523</v>
      </c>
      <c r="C25" s="0" t="n">
        <f aca="false">IFERROR(__xludf.dummyfunction("""COMPUTED_VALUE"""),1)</f>
        <v>1</v>
      </c>
      <c r="D25" s="0" t="str">
        <f aca="false">IFERROR(__xludf.dummyfunction("""COMPUTED_VALUE"""),"AICI202102-11-3| Realizar seguimiento a la implementación y cumplimiento de los los criterios de gestión documental para conservación de la información. (01/08/2021 - 31/12/2021)")</f>
        <v>AICI202102-11-3| Realizar seguimiento a la implementación y cumplimiento de los los criterios de gestión documental para conservación de la información. (01/08/2021 - 31/12/2021)</v>
      </c>
      <c r="E25" s="0" t="str">
        <f aca="false">IFERROR(__xludf.dummyfunction("""COMPUTED_VALUE"""),"No se puede hacer seguimiento indicado en la acción, porque no se ha dado la capacitación de gestión documental.
")</f>
        <v>No se puede hacer seguimiento indicado en la acción, porque no se ha dado la capacitación de gestión documental.
</v>
      </c>
      <c r="F25" s="0" t="str">
        <f aca="false">IFERROR(__xludf.dummyfunction("""COMPUTED_VALUE"""),"En desarrollo")</f>
        <v>En desarrollo</v>
      </c>
    </row>
    <row r="26" customFormat="false" ht="14.25" hidden="false" customHeight="false" outlineLevel="0" collapsed="false">
      <c r="A26" s="18" t="str">
        <f aca="false">IFERROR(MID(D26,1,FIND("|",D26)-1)&amp;"-"&amp;C26,"")</f>
        <v>AICI202102-12-1-1</v>
      </c>
      <c r="B26" s="19" t="n">
        <f aca="false">IFERROR(__xludf.dummyfunction("""COMPUTED_VALUE"""),44523)</f>
        <v>44523</v>
      </c>
      <c r="C26" s="0" t="n">
        <f aca="false">IFERROR(__xludf.dummyfunction("""COMPUTED_VALUE"""),1)</f>
        <v>1</v>
      </c>
      <c r="D26" s="0" t="str">
        <f aca="false">IFERROR(__xludf.dummyfunction("""COMPUTED_VALUE"""),"AICI202102-12-1| Establecer estrategias que permitan la apropiación y sensibilización de los equipos de Autoevaluación en la metodología de acreditación y su participación activa. (01/06/2021 - 31/08/2021)")</f>
        <v>AICI202102-12-1| Establecer estrategias que permitan la apropiación y sensibilización de los equipos de Autoevaluación en la metodología de acreditación y su participación activa. (01/06/2021 - 31/08/2021)</v>
      </c>
      <c r="E26" s="0" t="str">
        <f aca="false">IFERROR(__xludf.dummyfunction("""COMPUTED_VALUE"""),"No se refieren avances de esta acción")</f>
        <v>No se refieren avances de esta acción</v>
      </c>
      <c r="F26" s="0" t="str">
        <f aca="false">IFERROR(__xludf.dummyfunction("""COMPUTED_VALUE"""),"Atrasado")</f>
        <v>Atrasado</v>
      </c>
    </row>
    <row r="27" customFormat="false" ht="14.25" hidden="false" customHeight="false" outlineLevel="0" collapsed="false">
      <c r="A27" s="18" t="str">
        <f aca="false">IFERROR(MID(D27,1,FIND("|",D27)-1)&amp;"-"&amp;C27,"")</f>
        <v>AICI202102-12-2-1</v>
      </c>
      <c r="B27" s="19" t="n">
        <f aca="false">IFERROR(__xludf.dummyfunction("""COMPUTED_VALUE"""),44523)</f>
        <v>44523</v>
      </c>
      <c r="C27" s="0" t="n">
        <f aca="false">IFERROR(__xludf.dummyfunction("""COMPUTED_VALUE"""),1)</f>
        <v>1</v>
      </c>
      <c r="D27" s="0" t="str">
        <f aca="false">IFERROR(__xludf.dummyfunction("""COMPUTED_VALUE"""),"AICI202102-12-2| Medir la participación de los colaboradores en los equipos de autoevaluación para la formulaciòn de acciones de mejora y retroalimentar a los directivos y líderes de los grupos de estándares el resultado de la evaluación. (01/09/2021 - 31"&amp;"/01/2022)")</f>
        <v>AICI202102-12-2| Medir la participación de los colaboradores en los equipos de autoevaluación para la formulaciòn de acciones de mejora y retroalimentar a los directivos y líderes de los grupos de estándares el resultado de la evaluación. (01/09/2021 - 31/01/2022)</v>
      </c>
      <c r="E27" s="0" t="str">
        <f aca="false">IFERROR(__xludf.dummyfunction("""COMPUTED_VALUE"""),"No se refieren avances de la acción.")</f>
        <v>No se refieren avances de la acción.</v>
      </c>
      <c r="F27" s="0" t="str">
        <f aca="false">IFERROR(__xludf.dummyfunction("""COMPUTED_VALUE"""),"En desarrollo")</f>
        <v>En desarrollo</v>
      </c>
    </row>
    <row r="28" customFormat="false" ht="14.25" hidden="false" customHeight="false" outlineLevel="0" collapsed="false">
      <c r="A28" s="18" t="str">
        <f aca="false">IFERROR(MID(D28,1,FIND("|",D28)-1)&amp;"-"&amp;C28,"")</f>
        <v>AICI202102-13-1-1</v>
      </c>
      <c r="B28" s="19" t="n">
        <f aca="false">IFERROR(__xludf.dummyfunction("""COMPUTED_VALUE"""),44523)</f>
        <v>44523</v>
      </c>
      <c r="C28" s="0" t="n">
        <f aca="false">IFERROR(__xludf.dummyfunction("""COMPUTED_VALUE"""),1)</f>
        <v>1</v>
      </c>
      <c r="D28" s="0" t="str">
        <f aca="false">IFERROR(__xludf.dummyfunction("""COMPUTED_VALUE"""),"AICI202102-13-1| Establecer mecanismos de sensibilización a los equipos primarios sobre la importancia de realización de las reuniones con la periodicidad y metodología establecida, enviando al área de calidad las actas realizadas. (01/06/2021 - 30/11/202"&amp;"1)")</f>
        <v>AICI202102-13-1| Establecer mecanismos de sensibilización a los equipos primarios sobre la importancia de realización de las reuniones con la periodicidad y metodología establecida, enviando al área de calidad las actas realizadas. (01/06/2021 - 30/11/2021)</v>
      </c>
      <c r="E28" s="0" t="str">
        <f aca="false">IFERROR(__xludf.dummyfunction("""COMPUTED_VALUE"""),"No se refieren avances de la acción.")</f>
        <v>No se refieren avances de la acción.</v>
      </c>
      <c r="F28" s="0" t="str">
        <f aca="false">IFERROR(__xludf.dummyfunction("""COMPUTED_VALUE"""),"En desarrollo")</f>
        <v>En desarrollo</v>
      </c>
    </row>
    <row r="29" customFormat="false" ht="14.25" hidden="false" customHeight="false" outlineLevel="0" collapsed="false">
      <c r="A29" s="18" t="str">
        <f aca="false">IFERROR(MID(D29,1,FIND("|",D29)-1)&amp;"-"&amp;C29,"")</f>
        <v>AICI202102-13-2-1</v>
      </c>
      <c r="B29" s="19" t="n">
        <f aca="false">IFERROR(__xludf.dummyfunction("""COMPUTED_VALUE"""),44523)</f>
        <v>44523</v>
      </c>
      <c r="C29" s="0" t="n">
        <f aca="false">IFERROR(__xludf.dummyfunction("""COMPUTED_VALUE"""),1)</f>
        <v>1</v>
      </c>
      <c r="D29" s="0" t="str">
        <f aca="false">IFERROR(__xludf.dummyfunction("""COMPUTED_VALUE"""),"AICI202102-13-2| Evaluar la entrega y calidad de las actas de los equipos primarios de mejoramiento para la toma de acciones de mejora y retroalimentar a los directivos y líderes de los grupos de estándare el resultado de la evaluación. (01/09/2021 - 31/0"&amp;"1/2022)")</f>
        <v>AICI202102-13-2| Evaluar la entrega y calidad de las actas de los equipos primarios de mejoramiento para la toma de acciones de mejora y retroalimentar a los directivos y líderes de los grupos de estándare el resultado de la evaluación. (01/09/2021 - 31/01/2022)</v>
      </c>
      <c r="E29" s="0" t="str">
        <f aca="false">IFERROR(__xludf.dummyfunction("""COMPUTED_VALUE"""),"No se refieren avances de la acción.")</f>
        <v>No se refieren avances de la acción.</v>
      </c>
      <c r="F29" s="0" t="str">
        <f aca="false">IFERROR(__xludf.dummyfunction("""COMPUTED_VALUE"""),"En desarrollo")</f>
        <v>En desarrollo</v>
      </c>
    </row>
    <row r="30" customFormat="false" ht="14.25" hidden="false" customHeight="false" outlineLevel="0" collapsed="false">
      <c r="A30" s="18" t="str">
        <f aca="false">IFERROR(MID(D30,1,FIND("|",D30)-1)&amp;"-"&amp;C30,"")</f>
        <v>AICI202102-1-1-2</v>
      </c>
      <c r="B30" s="19" t="n">
        <f aca="false">IFERROR(__xludf.dummyfunction("""COMPUTED_VALUE"""),44585)</f>
        <v>44585</v>
      </c>
      <c r="C30" s="0" t="n">
        <f aca="false">IFERROR(__xludf.dummyfunction("""COMPUTED_VALUE"""),2)</f>
        <v>2</v>
      </c>
      <c r="D30" s="0" t="str">
        <f aca="false">IFERROR(__xludf.dummyfunction("""COMPUTED_VALUE"""),"AICI202102-1-1| Revisar, actualizar y normalizar la documentación que soporte las actividades y los procedimientos realizados en la oficina de Calidad alineados con la actualización de procesos realizada (08/11/2021 - 31/03/2022)")</f>
        <v>AICI202102-1-1| Revisar, actualizar y normalizar la documentación que soporte las actividades y los procedimientos realizados en la oficina de Calidad alineados con la actualización de procesos realizada (08/11/2021 - 31/03/2022)</v>
      </c>
      <c r="E30" s="0" t="str">
        <f aca="false">IFERROR(__xludf.dummyfunction("""COMPUTED_VALUE"""),"Se realizo un ejercicio de planeación y diagnostico de procesos y procedimientos de la oficina de calidad con el acompañamiento de la oficina de desarrollo institucional se envían soportes del proceso de planeación y diagnóstico realizado para la construc"&amp;"ción de los procesos y procedimientos. Se anexan soportes.")</f>
        <v>Se realizo un ejercicio de planeación y diagnostico de procesos y procedimientos de la oficina de calidad con el acompañamiento de la oficina de desarrollo institucional se envían soportes del proceso de planeación y diagnóstico realizado para la construcción de los procesos y procedimientos. Se anexan soportes.</v>
      </c>
      <c r="F30" s="0" t="str">
        <f aca="false">IFERROR(__xludf.dummyfunction("""COMPUTED_VALUE"""),"En desarrollo")</f>
        <v>En desarrollo</v>
      </c>
    </row>
    <row r="31" customFormat="false" ht="14.25" hidden="false" customHeight="false" outlineLevel="0" collapsed="false">
      <c r="A31" s="18" t="str">
        <f aca="false">IFERROR(MID(D31,1,FIND("|",D31)-1)&amp;"-"&amp;C31,"")</f>
        <v>AICI202102-3-2-2</v>
      </c>
      <c r="B31" s="19" t="n">
        <f aca="false">IFERROR(__xludf.dummyfunction("""COMPUTED_VALUE"""),44585)</f>
        <v>44585</v>
      </c>
      <c r="C31" s="0" t="n">
        <f aca="false">IFERROR(__xludf.dummyfunction("""COMPUTED_VALUE"""),2)</f>
        <v>2</v>
      </c>
      <c r="D31" s="0" t="str">
        <f aca="false">IFERROR(__xludf.dummyfunction("""COMPUTED_VALUE"""),"AICI202102-3-2| Solicitar a Gestión documental capacitación en el manejo del archivo con base en los criterios establecidos. (01/06/2021 - 30/06/2021)")</f>
        <v>AICI202102-3-2| Solicitar a Gestión documental capacitación en el manejo del archivo con base en los criterios establecidos. (01/06/2021 - 30/06/2021)</v>
      </c>
      <c r="E31" s="0" t="str">
        <f aca="false">IFERROR(__xludf.dummyfunction("""COMPUTED_VALUE"""),"Se completó el seguimiento pasado")</f>
        <v>Se completó el seguimiento pasado</v>
      </c>
      <c r="F31" s="0" t="str">
        <f aca="false">IFERROR(__xludf.dummyfunction("""COMPUTED_VALUE"""),"Completo")</f>
        <v>Completo</v>
      </c>
    </row>
    <row r="32" customFormat="false" ht="14.25" hidden="false" customHeight="false" outlineLevel="0" collapsed="false">
      <c r="A32" s="18" t="str">
        <f aca="false">IFERROR(MID(D32,1,FIND("|",D32)-1)&amp;"-"&amp;C32,"")</f>
        <v>AICI202102-3-4-2</v>
      </c>
      <c r="B32" s="19" t="n">
        <f aca="false">IFERROR(__xludf.dummyfunction("""COMPUTED_VALUE"""),44585)</f>
        <v>44585</v>
      </c>
      <c r="C32" s="0" t="n">
        <f aca="false">IFERROR(__xludf.dummyfunction("""COMPUTED_VALUE"""),2)</f>
        <v>2</v>
      </c>
      <c r="D32" s="0" t="str">
        <f aca="false">IFERROR(__xludf.dummyfunction("""COMPUTED_VALUE"""),"AICI202102-3-4| Realizar seguimiento a la implementación y cumplimiento de los los criterios de gestión documental para conservación de la información. (01/08/2021 - 31/12/2021)")</f>
        <v>AICI202102-3-4| Realizar seguimiento a la implementación y cumplimiento de los los criterios de gestión documental para conservación de la información. (01/08/2021 - 31/12/2021)</v>
      </c>
      <c r="E32" s="0" t="str">
        <f aca="false">IFERROR(__xludf.dummyfunction("""COMPUTED_VALUE"""),"Se refiere que se ehizo evaluación a gestión de calidad sobre manejo de la información, pero lo anterior no da cuenta de laacción de mejoramiento planteada.  Acción atrasada. ")</f>
        <v>Se refiere que se ehizo evaluación a gestión de calidad sobre manejo de la información, pero lo anterior no da cuenta de laacción de mejoramiento planteada.  Acción atrasada. </v>
      </c>
      <c r="F32" s="0" t="str">
        <f aca="false">IFERROR(__xludf.dummyfunction("""COMPUTED_VALUE"""),"Atrasado")</f>
        <v>Atrasado</v>
      </c>
    </row>
    <row r="33" customFormat="false" ht="14.25" hidden="false" customHeight="false" outlineLevel="0" collapsed="false">
      <c r="A33" s="18" t="str">
        <f aca="false">IFERROR(MID(D33,1,FIND("|",D33)-1)&amp;"-"&amp;C33,"")</f>
        <v>AICI202102-5-1-2</v>
      </c>
      <c r="B33" s="19" t="n">
        <f aca="false">IFERROR(__xludf.dummyfunction("""COMPUTED_VALUE"""),44586)</f>
        <v>44586</v>
      </c>
      <c r="C33" s="0" t="n">
        <f aca="false">IFERROR(__xludf.dummyfunction("""COMPUTED_VALUE"""),2)</f>
        <v>2</v>
      </c>
      <c r="D33" s="0" t="str">
        <f aca="false">IFERROR(__xludf.dummyfunction("""COMPUTED_VALUE"""),"AICI202102-5-1| Establecer un mecanismo eficaz de comunicación entre auditoría concurrente y planes de mejora para la gestión de hallazgos reiterativos y la verificación del cumplimiento de las acciones (mesa de trabajo para análisis - definición de herra"&amp;"mientas - documentación). (01/06/2021 - 31/07/2021)")</f>
        <v>AICI202102-5-1| Establecer un mecanismo eficaz de comunicación entre auditoría concurrente y planes de mejora para la gestión de hallazgos reiterativos y la verificación del cumplimiento de las acciones (mesa de trabajo para análisis - definición de herramientas - documentación). (01/06/2021 - 31/07/2021)</v>
      </c>
      <c r="E33" s="0" t="str">
        <f aca="false">IFERROR(__xludf.dummyfunction("""COMPUTED_VALUE"""),"No se presentaron avances de la acción.")</f>
        <v>No se presentaron avances de la acción.</v>
      </c>
      <c r="F33" s="0" t="str">
        <f aca="false">IFERROR(__xludf.dummyfunction("""COMPUTED_VALUE"""),"Atrasado")</f>
        <v>Atrasado</v>
      </c>
    </row>
    <row r="34" customFormat="false" ht="14.25" hidden="false" customHeight="false" outlineLevel="0" collapsed="false">
      <c r="A34" s="18" t="str">
        <f aca="false">IFERROR(MID(D34,1,FIND("|",D34)-1)&amp;"-"&amp;C34,"")</f>
        <v>AICI202102-5-2-2</v>
      </c>
      <c r="B34" s="19" t="n">
        <f aca="false">IFERROR(__xludf.dummyfunction("""COMPUTED_VALUE"""),44586)</f>
        <v>44586</v>
      </c>
      <c r="C34" s="0" t="n">
        <f aca="false">IFERROR(__xludf.dummyfunction("""COMPUTED_VALUE"""),2)</f>
        <v>2</v>
      </c>
      <c r="D34" s="0" t="str">
        <f aca="false">IFERROR(__xludf.dummyfunction("""COMPUTED_VALUE"""),"AICI202102-5-2| Documentar, socializar e implementar el mecanismo definido. (01/08/2021 - 28/02/2022)")</f>
        <v>AICI202102-5-2| Documentar, socializar e implementar el mecanismo definido. (01/08/2021 - 28/02/2022)</v>
      </c>
      <c r="E34" s="0" t="str">
        <f aca="false">IFERROR(__xludf.dummyfunction("""COMPUTED_VALUE"""),"No se presentaron avances de la acción.")</f>
        <v>No se presentaron avances de la acción.</v>
      </c>
      <c r="F34" s="0" t="str">
        <f aca="false">IFERROR(__xludf.dummyfunction("""COMPUTED_VALUE"""),"Atrasado")</f>
        <v>Atrasado</v>
      </c>
    </row>
    <row r="35" customFormat="false" ht="14.25" hidden="false" customHeight="false" outlineLevel="0" collapsed="false">
      <c r="A35" s="18" t="str">
        <f aca="false">IFERROR(MID(D35,1,FIND("|",D35)-1)&amp;"-"&amp;C35,"")</f>
        <v>AICI202102-5-3-2</v>
      </c>
      <c r="B35" s="19" t="n">
        <f aca="false">IFERROR(__xludf.dummyfunction("""COMPUTED_VALUE"""),44586)</f>
        <v>44586</v>
      </c>
      <c r="C35" s="0" t="n">
        <f aca="false">IFERROR(__xludf.dummyfunction("""COMPUTED_VALUE"""),2)</f>
        <v>2</v>
      </c>
      <c r="D35" s="0" t="str">
        <f aca="false">IFERROR(__xludf.dummyfunction("""COMPUTED_VALUE"""),"AICI202102-5-3| Actualizar el informe de auditoría concurrente a la atención COVID con datos de 2021 y generar el plan de mejora. (01/06/2021 - 31/07/2021)")</f>
        <v>AICI202102-5-3| Actualizar el informe de auditoría concurrente a la atención COVID con datos de 2021 y generar el plan de mejora. (01/06/2021 - 31/07/2021)</v>
      </c>
      <c r="E35" s="0" t="str">
        <f aca="false">IFERROR(__xludf.dummyfunction("""COMPUTED_VALUE"""),"Se observa presentación de auditoría UCI Covid de agosto 2021 en el cual se presentan datos y se relacionan oportunidades de mejora. El plan de mejora enviado no formula acciones de mejora coherentes con las oportunidades descritas. El formato de plan env"&amp;"iado es el formato que relaciona todo el plan derivado de los hallazgos de la auditoría de control interno y describe actividades  que no constituyen un plan de mejora para lo descrito en la no conformidad No. 5.   ")</f>
        <v>Se observa presentación de auditoría UCI Covid de agosto 2021 en el cual se presentan datos y se relacionan oportunidades de mejora. El plan de mejora enviado no formula acciones de mejora coherentes con las oportunidades descritas. El formato de plan enviado es el formato que relaciona todo el plan derivado de los hallazgos de la auditoría de control interno y describe actividades  que no constituyen un plan de mejora para lo descrito en la no conformidad No. 5.   </v>
      </c>
      <c r="F35" s="0" t="str">
        <f aca="false">IFERROR(__xludf.dummyfunction("""COMPUTED_VALUE"""),"Atrasado")</f>
        <v>Atrasado</v>
      </c>
    </row>
    <row r="36" customFormat="false" ht="14.25" hidden="false" customHeight="false" outlineLevel="0" collapsed="false">
      <c r="A36" s="18" t="str">
        <f aca="false">IFERROR(MID(D36,1,FIND("|",D36)-1)&amp;"-"&amp;C36,"")</f>
        <v>AICI202102-6-1-2</v>
      </c>
      <c r="B36" s="19" t="n">
        <f aca="false">IFERROR(__xludf.dummyfunction("""COMPUTED_VALUE"""),44586)</f>
        <v>44586</v>
      </c>
      <c r="C36" s="0" t="n">
        <f aca="false">IFERROR(__xludf.dummyfunction("""COMPUTED_VALUE"""),2)</f>
        <v>2</v>
      </c>
      <c r="D36" s="0" t="str">
        <f aca="false">IFERROR(__xludf.dummyfunction("""COMPUTED_VALUE"""),"AICI202102-6-1| Generar un comunicado para los directores y líderes de servicios donde se reitere que las actas de las visitas y/o auditoría recibidas sean remitidas a la oficina de Calidad. (01/06/2021 - 31/07/2021)")</f>
        <v>AICI202102-6-1| Generar un comunicado para los directores y líderes de servicios donde se reitere que las actas de las visitas y/o auditoría recibidas sean remitidas a la oficina de Calidad. (01/06/2021 - 31/07/2021)</v>
      </c>
      <c r="E36" s="0" t="str">
        <f aca="false">IFERROR(__xludf.dummyfunction("""COMPUTED_VALUE"""),"Se enviaron actas de visitas enviadas a calidad. Esto no responde a la acción formulada ""generar un comunicado  para los directores y líderes de servicios donde se reitere que las actas de las visitas y/o auditoría recibidas sean remitidas a la oficina d"&amp;"e Calidad."" por lo tanto la acción se encuentra atrasada.")</f>
        <v>Se enviaron actas de visitas enviadas a calidad. Esto no responde a la acción formulada "generar un comunicado  para los directores y líderes de servicios donde se reitere que las actas de las visitas y/o auditoría recibidas sean remitidas a la oficina de Calidad." por lo tanto la acción se encuentra atrasada.</v>
      </c>
      <c r="F36" s="0" t="str">
        <f aca="false">IFERROR(__xludf.dummyfunction("""COMPUTED_VALUE"""),"Atrasado")</f>
        <v>Atrasado</v>
      </c>
    </row>
    <row r="37" customFormat="false" ht="14.25" hidden="false" customHeight="false" outlineLevel="0" collapsed="false">
      <c r="A37" s="18" t="str">
        <f aca="false">IFERROR(MID(D37,1,FIND("|",D37)-1)&amp;"-"&amp;C37,"")</f>
        <v>AICI202102-6-2-2</v>
      </c>
      <c r="B37" s="19" t="n">
        <f aca="false">IFERROR(__xludf.dummyfunction("""COMPUTED_VALUE"""),44586)</f>
        <v>44586</v>
      </c>
      <c r="C37" s="0" t="n">
        <f aca="false">IFERROR(__xludf.dummyfunction("""COMPUTED_VALUE"""),2)</f>
        <v>2</v>
      </c>
      <c r="D37" s="0" t="str">
        <f aca="false">IFERROR(__xludf.dummyfunction("""COMPUTED_VALUE"""),"AICI202102-6-2| Definir un mecanismo que facilite la interacción con auditoría (concurrente y paciente trazador) para realizar la verificación de cumplimiento de las acciones propuestas en los servicios. (01/08/2021 - 31/12/2021)")</f>
        <v>AICI202102-6-2| Definir un mecanismo que facilite la interacción con auditoría (concurrente y paciente trazador) para realizar la verificación de cumplimiento de las acciones propuestas en los servicios. (01/08/2021 - 31/12/2021)</v>
      </c>
      <c r="E37" s="0" t="str">
        <f aca="false">IFERROR(__xludf.dummyfunction("""COMPUTED_VALUE"""),"No se presentaron avances de la acción.")</f>
        <v>No se presentaron avances de la acción.</v>
      </c>
      <c r="F37" s="0" t="str">
        <f aca="false">IFERROR(__xludf.dummyfunction("""COMPUTED_VALUE"""),"Atrasado")</f>
        <v>Atrasado</v>
      </c>
    </row>
    <row r="38" customFormat="false" ht="14.25" hidden="false" customHeight="false" outlineLevel="0" collapsed="false">
      <c r="A38" s="18" t="str">
        <f aca="false">IFERROR(MID(D38,1,FIND("|",D38)-1)&amp;"-"&amp;C38,"")</f>
        <v>AICI202102-7-1-2</v>
      </c>
      <c r="B38" s="19" t="n">
        <f aca="false">IFERROR(__xludf.dummyfunction("""COMPUTED_VALUE"""),44586)</f>
        <v>44586</v>
      </c>
      <c r="C38" s="0" t="n">
        <f aca="false">IFERROR(__xludf.dummyfunction("""COMPUTED_VALUE"""),2)</f>
        <v>2</v>
      </c>
      <c r="D38" s="0" t="str">
        <f aca="false">IFERROR(__xludf.dummyfunction("""COMPUTED_VALUE"""),"AICI202102-7-1| Definir mecanismo para seguimiento y verificación de la impementación eficaz de las acciones articulado con auditoría (concurrente y paciente trazador). (01/06/2021 - 31/12/2021)")</f>
        <v>AICI202102-7-1| Definir mecanismo para seguimiento y verificación de la impementación eficaz de las acciones articulado con auditoría (concurrente y paciente trazador). (01/06/2021 - 31/12/2021)</v>
      </c>
      <c r="E38" s="0" t="str">
        <f aca="false">IFERROR(__xludf.dummyfunction("""COMPUTED_VALUE"""),"No se presentaron avances de la acción.")</f>
        <v>No se presentaron avances de la acción.</v>
      </c>
      <c r="F38" s="0" t="str">
        <f aca="false">IFERROR(__xludf.dummyfunction("""COMPUTED_VALUE"""),"Atrasado")</f>
        <v>Atrasado</v>
      </c>
    </row>
    <row r="39" customFormat="false" ht="14.25" hidden="false" customHeight="false" outlineLevel="0" collapsed="false">
      <c r="A39" s="18" t="str">
        <f aca="false">IFERROR(MID(D39,1,FIND("|",D39)-1)&amp;"-"&amp;C39,"")</f>
        <v>AICI202102-8-1-2</v>
      </c>
      <c r="B39" s="19" t="n">
        <f aca="false">IFERROR(__xludf.dummyfunction("""COMPUTED_VALUE"""),44586)</f>
        <v>44586</v>
      </c>
      <c r="C39" s="0" t="n">
        <f aca="false">IFERROR(__xludf.dummyfunction("""COMPUTED_VALUE"""),2)</f>
        <v>2</v>
      </c>
      <c r="D39" s="0" t="str">
        <f aca="false">IFERROR(__xludf.dummyfunction("""COMPUTED_VALUE"""),"AICI202102-8-1| Validar la adecuación de la matriz existente para facilitar y garantizar el registro, monitoreo y control del cumplimiento de los requisitos de habilitación según Res. 3100 de 2019 y hacer los ajustes necesarios e implementarlos. (01/06/20"&amp;"21 - 31/08/2021)")</f>
        <v>AICI202102-8-1| Validar la adecuación de la matriz existente para facilitar y garantizar el registro, monitoreo y control del cumplimiento de los requisitos de habilitación según Res. 3100 de 2019 y hacer los ajustes necesarios e implementarlos. (01/06/2021 - 31/08/2021)</v>
      </c>
      <c r="E39" s="0" t="str">
        <f aca="false">IFERROR(__xludf.dummyfunction("""COMPUTED_VALUE"""),"Se presenta formato  ""Herramienta de verificación de cumplimiento de condiciones del sistema"" y ""formato se solicitud de novedades"", sin ningún diligenciamiento, lo cual no constituye un soporte para garantizar el registro, monitoreo y control del cum"&amp;"plimiento de requisitos de habilitación, de manera coherente con lo descrito en el hallazgo.  ")</f>
        <v>Se presenta formato  "Herramienta de verificación de cumplimiento de condiciones del sistema" y "formato se solicitud de novedades", sin ningún diligenciamiento, lo cual no constituye un soporte para garantizar el registro, monitoreo y control del cumplimiento de requisitos de habilitación, de manera coherente con lo descrito en el hallazgo.  </v>
      </c>
      <c r="F39" s="0" t="str">
        <f aca="false">IFERROR(__xludf.dummyfunction("""COMPUTED_VALUE"""),"Atrasado")</f>
        <v>Atrasado</v>
      </c>
    </row>
    <row r="40" customFormat="false" ht="14.25" hidden="false" customHeight="false" outlineLevel="0" collapsed="false">
      <c r="A40" s="18" t="str">
        <f aca="false">IFERROR(MID(D40,1,FIND("|",D40)-1)&amp;"-"&amp;C40,"")</f>
        <v>AICI202102-9-1-2</v>
      </c>
      <c r="B40" s="19" t="n">
        <f aca="false">IFERROR(__xludf.dummyfunction("""COMPUTED_VALUE"""),44586)</f>
        <v>44586</v>
      </c>
      <c r="C40" s="0" t="n">
        <f aca="false">IFERROR(__xludf.dummyfunction("""COMPUTED_VALUE"""),2)</f>
        <v>2</v>
      </c>
      <c r="D40" s="0" t="str">
        <f aca="false">IFERROR(__xludf.dummyfunction("""COMPUTED_VALUE"""),"AICI202102-9-1| Documentar y normalizar las actividades, responsables y tiempos para el lincenciamiento de los equipos generadores de radiaciones ionizantes. (01/06/2021 - 31/07/2021)")</f>
        <v>AICI202102-9-1| Documentar y normalizar las actividades, responsables y tiempos para el lincenciamiento de los equipos generadores de radiaciones ionizantes. (01/06/2021 - 31/07/2021)</v>
      </c>
      <c r="E40" s="0" t="str">
        <f aca="false">IFERROR(__xludf.dummyfunction("""COMPUTED_VALUE"""),"Se completó acción en primer seguimiento.")</f>
        <v>Se completó acción en primer seguimiento.</v>
      </c>
      <c r="F40" s="0" t="str">
        <f aca="false">IFERROR(__xludf.dummyfunction("""COMPUTED_VALUE"""),"Completo")</f>
        <v>Completo</v>
      </c>
    </row>
    <row r="41" customFormat="false" ht="14.25" hidden="false" customHeight="false" outlineLevel="0" collapsed="false">
      <c r="A41" s="18" t="str">
        <f aca="false">IFERROR(MID(D41,1,FIND("|",D41)-1)&amp;"-"&amp;C41,"")</f>
        <v>AICI202102-9-2-2</v>
      </c>
      <c r="B41" s="19" t="n">
        <f aca="false">IFERROR(__xludf.dummyfunction("""COMPUTED_VALUE"""),44586)</f>
        <v>44586</v>
      </c>
      <c r="C41" s="0" t="n">
        <f aca="false">IFERROR(__xludf.dummyfunction("""COMPUTED_VALUE"""),2)</f>
        <v>2</v>
      </c>
      <c r="D41" s="0" t="str">
        <f aca="false">IFERROR(__xludf.dummyfunction("""COMPUTED_VALUE"""),"AICI202102-9-2| Realizar mesa de trabajo con las áreas involucradas (Subgerencia de prestación de servicios, Imagenología, Ingeniería Biomédica, Infraestructura) para socializar el documento generado con sus lineamientos y asignación de responsabilidades "&amp;"a Subgerencia de Prestación de Servicios, Ingeniería Biomédica, Imagenología, Infraestructura y Calidad dentro de la gestión para la expedición de las licencias de equipos generadores de radiaciones ionizantes. (01/08/2021 - 31/08/2021)")</f>
        <v>AICI202102-9-2| Realizar mesa de trabajo con las áreas involucradas (Subgerencia de prestación de servicios, Imagenología, Ingeniería Biomédica, Infraestructura) para socializar el documento generado con sus lineamientos y asignación de responsabilidades a Subgerencia de Prestación de Servicios, Ingeniería Biomédica, Imagenología, Infraestructura y Calidad dentro de la gestión para la expedición de las licencias de equipos generadores de radiaciones ionizantes. (01/08/2021 - 31/08/2021)</v>
      </c>
      <c r="E41" s="0" t="str">
        <f aca="false">IFERROR(__xludf.dummyfunction("""COMPUTED_VALUE"""),"Se envía acta de ""Ronda de Acompañamiento, capacitación y asesoría técnica para 
Autoevaluación USS Emaús"" Durante esta reunión se realizó socialización del instructivo de radiaciones ionizantes al Subgerente de servicios de salud, Referente de servicio"&amp;"s ambulatorios Referente Terapias Engativa calle 80, Gestora Enfermería - Biomédico 
Gestora Habilitación y su equipo. No se anexó registro de asistencia. Se deja como compromiso enviar por correo Zimbra para Socialización INSTRUCTIVO LICENCIAS DE PRÁCTIC"&amp;"A MÉDICA EQUIPOS GENERADORES DE RADIACIÓN IONIZANTE CÓDIGO: ES-GC-I-36-01 a: Medicina Preventiva SST, Talento Humano 9, Jorge Tibocha , dirtalentohumano.  Dado que de la reunión no se anexaron soportes de asistencia, no se observó participación del gestor"&amp;" de imágenes diagnósticas que es el principal implicado en el tema y de otros líderes y áreas mencionados como responsables en el instructivo a socializar, y no hay soportes de envío de los correos descritos en el compromiso, es necesario allegar la total"&amp;"idad de soportes pertinentes para el cierre de la acción.")</f>
        <v>Se envía acta de "Ronda de Acompañamiento, capacitación y asesoría técnica para 
Autoevaluación USS Emaús" Durante esta reunión se realizó socialización del instructivo de radiaciones ionizantes al Subgerente de servicios de salud, Referente de servicios ambulatorios Referente Terapias Engativa calle 80, Gestora Enfermería - Biomédico 
Gestora Habilitación y su equipo. No se anexó registro de asistencia. Se deja como compromiso enviar por correo Zimbra para Socialización INSTRUCTIVO LICENCIAS DE PRÁCTICA MÉDICA EQUIPOS GENERADORES DE RADIACIÓN IONIZANTE CÓDIGO: ES-GC-I-36-01 a: Medicina Preventiva SST, Talento Humano 9, Jorge Tibocha , dirtalentohumano.  Dado que de la reunión no se anexaron soportes de asistencia, no se observó participación del gestor de imágenes diagnósticas que es el principal implicado en el tema y de otros líderes y áreas mencionados como responsables en el instructivo a socializar, y no hay soportes de envío de los correos descritos en el compromiso, es necesario allegar la totalidad de soportes pertinentes para el cierre de la acción.</v>
      </c>
      <c r="F41" s="0" t="str">
        <f aca="false">IFERROR(__xludf.dummyfunction("""COMPUTED_VALUE"""),"Atrasado")</f>
        <v>Atrasado</v>
      </c>
    </row>
    <row r="42" customFormat="false" ht="14.25" hidden="false" customHeight="false" outlineLevel="0" collapsed="false">
      <c r="A42" s="18" t="str">
        <f aca="false">IFERROR(MID(D42,1,FIND("|",D42)-1)&amp;"-"&amp;C42,"")</f>
        <v>AICI202102-9-3-2</v>
      </c>
      <c r="B42" s="19" t="n">
        <f aca="false">IFERROR(__xludf.dummyfunction("""COMPUTED_VALUE"""),44586)</f>
        <v>44586</v>
      </c>
      <c r="C42" s="0" t="n">
        <f aca="false">IFERROR(__xludf.dummyfunction("""COMPUTED_VALUE"""),2)</f>
        <v>2</v>
      </c>
      <c r="D42" s="0" t="str">
        <f aca="false">IFERROR(__xludf.dummyfunction("""COMPUTED_VALUE"""),"AICI202102-9-3| Hacer seguimiento al cumplimiento oportuno de las actividades para la obtención y actualización de las licencias de los de equipos generadores de radiaciones ionizantes. (01/09/2021 - 31/12/2021)")</f>
        <v>AICI202102-9-3| Hacer seguimiento al cumplimiento oportuno de las actividades para la obtención y actualización de las licencias de los de equipos generadores de radiaciones ionizantes. (01/09/2021 - 31/12/2021)</v>
      </c>
      <c r="E42" s="0" t="str">
        <f aca="false">IFERROR(__xludf.dummyfunction("""COMPUTED_VALUE"""),"Se menciona que se adjunta matriz de seguimiento, pero la misma no se ajuntó a los soportes. ")</f>
        <v>Se menciona que se adjunta matriz de seguimiento, pero la misma no se ajuntó a los soportes. </v>
      </c>
      <c r="F42" s="0" t="str">
        <f aca="false">IFERROR(__xludf.dummyfunction("""COMPUTED_VALUE"""),"Atrasado")</f>
        <v>Atrasado</v>
      </c>
    </row>
    <row r="43" customFormat="false" ht="14.25" hidden="false" customHeight="false" outlineLevel="0" collapsed="false">
      <c r="A43" s="18" t="str">
        <f aca="false">IFERROR(MID(D43,1,FIND("|",D43)-1)&amp;"-"&amp;C43,"")</f>
        <v>AICI202102-10-2-2</v>
      </c>
      <c r="B43" s="19" t="n">
        <f aca="false">IFERROR(__xludf.dummyfunction("""COMPUTED_VALUE"""),44586)</f>
        <v>44586</v>
      </c>
      <c r="C43" s="0" t="n">
        <f aca="false">IFERROR(__xludf.dummyfunction("""COMPUTED_VALUE"""),2)</f>
        <v>2</v>
      </c>
      <c r="D43" s="0" t="str">
        <f aca="false">IFERROR(__xludf.dummyfunction("""COMPUTED_VALUE"""),"AICI202102-10-2| Elaborar circular informativa para que los servicios y/o procesos remitan las actas de visitas o auditorías hechas por los entes de control a la oficina de Calidad para establecer plan de intervención o mejora, hacer seguimiento y estruct"&amp;"urar matriz y base documental de visitas de entes que generen investigaciones administrativas. (01/06/2021 - 31/08/2021)")</f>
        <v>AICI202102-10-2| Elaborar circular informativa para que los servicios y/o procesos remitan las actas de visitas o auditorías hechas por los entes de control a la oficina de Calidad para establecer plan de intervención o mejora, hacer seguimiento y estructurar matriz y base documental de visitas de entes que generen investigaciones administrativas. (01/06/2021 - 31/08/2021)</v>
      </c>
      <c r="E43" s="0" t="str">
        <f aca="false">IFERROR(__xludf.dummyfunction("""COMPUTED_VALUE"""),"Se envió correo de zimbra de socialización de lineamientos de gestión de comités. Esto no responde a la acción formulada ""Elaborar circular informativa  para que los servicios y/o procesos remitan las actas de  visitas o auditorías  hechas por los entes "&amp;"de control a la oficina de Calidad...""")</f>
        <v>Se envió correo de zimbra de socialización de lineamientos de gestión de comités. Esto no responde a la acción formulada "Elaborar circular informativa  para que los servicios y/o procesos remitan las actas de  visitas o auditorías  hechas por los entes de control a la oficina de Calidad..."</v>
      </c>
      <c r="F43" s="0" t="str">
        <f aca="false">IFERROR(__xludf.dummyfunction("""COMPUTED_VALUE"""),"Atrasado")</f>
        <v>Atrasado</v>
      </c>
    </row>
    <row r="44" customFormat="false" ht="14.25" hidden="false" customHeight="false" outlineLevel="0" collapsed="false">
      <c r="A44" s="18" t="str">
        <f aca="false">IFERROR(MID(D44,1,FIND("|",D44)-1)&amp;"-"&amp;C44,"")</f>
        <v>AICI202102-10-1-2</v>
      </c>
      <c r="B44" s="19" t="n">
        <f aca="false">IFERROR(__xludf.dummyfunction("""COMPUTED_VALUE"""),44586)</f>
        <v>44586</v>
      </c>
      <c r="C44" s="0" t="n">
        <f aca="false">IFERROR(__xludf.dummyfunction("""COMPUTED_VALUE"""),2)</f>
        <v>2</v>
      </c>
      <c r="D44" s="0" t="str">
        <f aca="false">IFERROR(__xludf.dummyfunction("""COMPUTED_VALUE"""),"AICI202102-10-1| Revisar la adecuación de los formatos existentes para el seguimiento a autos comisorios, realizar los ajustes necesarios e implementarlos. (01/06/2021 - 31/08/2021)")</f>
        <v>AICI202102-10-1| Revisar la adecuación de los formatos existentes para el seguimiento a autos comisorios, realizar los ajustes necesarios e implementarlos. (01/06/2021 - 31/08/2021)</v>
      </c>
      <c r="E44" s="0" t="str">
        <f aca="false">IFERROR(__xludf.dummyfunction("""COMPUTED_VALUE"""),"Esta acción se completó en el primer seguimiento")</f>
        <v>Esta acción se completó en el primer seguimiento</v>
      </c>
      <c r="F44" s="0" t="str">
        <f aca="false">IFERROR(__xludf.dummyfunction("""COMPUTED_VALUE"""),"Completo")</f>
        <v>Completo</v>
      </c>
    </row>
    <row r="45" customFormat="false" ht="14.25" hidden="false" customHeight="false" outlineLevel="0" collapsed="false">
      <c r="A45" s="18" t="str">
        <f aca="false">IFERROR(MID(D45,1,FIND("|",D45)-1)&amp;"-"&amp;C45,"")</f>
        <v>AICI202102-11-1-2</v>
      </c>
      <c r="B45" s="19" t="n">
        <f aca="false">IFERROR(__xludf.dummyfunction("""COMPUTED_VALUE"""),44586)</f>
        <v>44586</v>
      </c>
      <c r="C45" s="0" t="n">
        <f aca="false">IFERROR(__xludf.dummyfunction("""COMPUTED_VALUE"""),2)</f>
        <v>2</v>
      </c>
      <c r="D45" s="0" t="str">
        <f aca="false">IFERROR(__xludf.dummyfunction("""COMPUTED_VALUE"""),"AICI202102-11-1| Solicitar a Gestión documental capacitación en el manejo del archivo con base en los criterios establecidos. (01/06/2021 - 30/06/2021)")</f>
        <v>AICI202102-11-1| Solicitar a Gestión documental capacitación en el manejo del archivo con base en los criterios establecidos. (01/06/2021 - 30/06/2021)</v>
      </c>
      <c r="E45" s="0" t="str">
        <f aca="false">IFERROR(__xludf.dummyfunction("""COMPUTED_VALUE"""),"Esta acción se completó en el primer seguimiento")</f>
        <v>Esta acción se completó en el primer seguimiento</v>
      </c>
      <c r="F45" s="0" t="str">
        <f aca="false">IFERROR(__xludf.dummyfunction("""COMPUTED_VALUE"""),"Completo")</f>
        <v>Completo</v>
      </c>
    </row>
    <row r="46" customFormat="false" ht="14.25" hidden="false" customHeight="false" outlineLevel="0" collapsed="false">
      <c r="A46" s="18" t="str">
        <f aca="false">IFERROR(MID(D46,1,FIND("|",D46)-1)&amp;"-"&amp;C46,"")</f>
        <v>AICI202102-11-2-2</v>
      </c>
      <c r="B46" s="19" t="n">
        <f aca="false">IFERROR(__xludf.dummyfunction("""COMPUTED_VALUE"""),44586)</f>
        <v>44586</v>
      </c>
      <c r="C46" s="0" t="n">
        <f aca="false">IFERROR(__xludf.dummyfunction("""COMPUTED_VALUE"""),2)</f>
        <v>2</v>
      </c>
      <c r="D46" s="0" t="str">
        <f aca="false">IFERROR(__xludf.dummyfunction("""COMPUTED_VALUE"""),"AICI202102-11-2| Realizar capacitación al personal de habilitación en el manejo del archivo con base en los criterios establecidos por gestión documental. (01/07/2021 - 30/07/2021)")</f>
        <v>AICI202102-11-2| Realizar capacitación al personal de habilitación en el manejo del archivo con base en los criterios establecidos por gestión documental. (01/07/2021 - 30/07/2021)</v>
      </c>
      <c r="E46" s="0" t="str">
        <f aca="false">IFERROR(__xludf.dummyfunction("""COMPUTED_VALUE"""),"Se presenta acta de ""capacitación y revisión de la definición de los mecanismos de custodia y seguridad del SUH realizada entre la secretaria de calidad y el equipo de habilitación.  Teniendo en cuenta que el ciclo PHVA de la acción previa planteada indi"&amp;"ca la solicitud a Gestión documental de la capacitación y en los responsables de la acción propiamente dicha se incluye el gestor documental, área que no participó en la actividad, no se está dando cumplimiento desde el punto de vista técnico, a la activi"&amp;"dad propuesta por el área de calidad. ")</f>
        <v>Se presenta acta de "capacitación y revisión de la definición de los mecanismos de custodia y seguridad del SUH realizada entre la secretaria de calidad y el equipo de habilitación.  Teniendo en cuenta que el ciclo PHVA de la acción previa planteada indica la solicitud a Gestión documental de la capacitación y en los responsables de la acción propiamente dicha se incluye el gestor documental, área que no participó en la actividad, no se está dando cumplimiento desde el punto de vista técnico, a la actividad propuesta por el área de calidad. </v>
      </c>
      <c r="F46" s="0" t="str">
        <f aca="false">IFERROR(__xludf.dummyfunction("""COMPUTED_VALUE"""),"Atrasado")</f>
        <v>Atrasado</v>
      </c>
    </row>
    <row r="47" customFormat="false" ht="14.25" hidden="false" customHeight="false" outlineLevel="0" collapsed="false">
      <c r="A47" s="18" t="str">
        <f aca="false">IFERROR(MID(D47,1,FIND("|",D47)-1)&amp;"-"&amp;C47,"")</f>
        <v>AICI202102-11-3-2</v>
      </c>
      <c r="B47" s="19" t="n">
        <f aca="false">IFERROR(__xludf.dummyfunction("""COMPUTED_VALUE"""),44586)</f>
        <v>44586</v>
      </c>
      <c r="C47" s="0" t="n">
        <f aca="false">IFERROR(__xludf.dummyfunction("""COMPUTED_VALUE"""),2)</f>
        <v>2</v>
      </c>
      <c r="D47" s="0" t="str">
        <f aca="false">IFERROR(__xludf.dummyfunction("""COMPUTED_VALUE"""),"AICI202102-11-3| Realizar seguimiento a la implementación y cumplimiento de los los criterios de gestión documental para conservación de la información. (01/08/2021 - 31/12/2021)")</f>
        <v>AICI202102-11-3| Realizar seguimiento a la implementación y cumplimiento de los los criterios de gestión documental para conservación de la información. (01/08/2021 - 31/12/2021)</v>
      </c>
      <c r="E47" s="0" t="str">
        <f aca="false">IFERROR(__xludf.dummyfunction("""COMPUTED_VALUE"""),"Se presenta acta de capacitación sobre mecanismos de custodia y seguridad del SUH, en ella se refiere seguimiento a la implementación de los criterios de gestión documental para conservación de la información y se corroboran la ejecución y cumplimiento de"&amp;" los requisitos del archivo físico, las tablas de retención documental y los mecanismos para custodia y seguridad  en medio virtual  y los back up de los correos en la misma sesión de trabajo. Dado que la capacitación descrita en la acción previa al segui"&amp;"miento fue realizada sin el apoyo de gestión documental y en la misma sesión de la capacitación se realizó en seguimiento, dando cuenta del cumplimiento de los requisitos, sin dar tiempo a la aplicación de los criterios objeto de capacitación, el cumplimi"&amp;"ento de esta acción quedará supeditado al cumplimiento de la acción anterior y del ciclo PHVA planteado  por el área de Calidad, al formular las acciones de esta no conformidad, para así ejecutar un seguimiento coherente en contenidos y tiempos acordes lo"&amp;"s criterios de capacitación.")</f>
        <v>Se presenta acta de capacitación sobre mecanismos de custodia y seguridad del SUH, en ella se refiere seguimiento a la implementación de los criterios de gestión documental para conservación de la información y se corroboran la ejecución y cumplimiento de los requisitos del archivo físico, las tablas de retención documental y los mecanismos para custodia y seguridad  en medio virtual  y los back up de los correos en la misma sesión de trabajo. Dado que la capacitación descrita en la acción previa al seguimiento fue realizada sin el apoyo de gestión documental y en la misma sesión de la capacitación se realizó en seguimiento, dando cuenta del cumplimiento de los requisitos, sin dar tiempo a la aplicación de los criterios objeto de capacitación, el cumplimiento de esta acción quedará supeditado al cumplimiento de la acción anterior y del ciclo PHVA planteado  por el área de Calidad, al formular las acciones de esta no conformidad, para así ejecutar un seguimiento coherente en contenidos y tiempos acordes los criterios de capacitación.</v>
      </c>
      <c r="F47" s="0" t="str">
        <f aca="false">IFERROR(__xludf.dummyfunction("""COMPUTED_VALUE"""),"Atrasado")</f>
        <v>Atrasado</v>
      </c>
    </row>
    <row r="48" customFormat="false" ht="14.25" hidden="false" customHeight="false" outlineLevel="0" collapsed="false">
      <c r="A48" s="18" t="str">
        <f aca="false">IFERROR(MID(D48,1,FIND("|",D48)-1)&amp;"-"&amp;C48,"")</f>
        <v>AICI202102-13-1-2</v>
      </c>
      <c r="B48" s="19" t="n">
        <f aca="false">IFERROR(__xludf.dummyfunction("""COMPUTED_VALUE"""),44586)</f>
        <v>44586</v>
      </c>
      <c r="C48" s="0" t="n">
        <f aca="false">IFERROR(__xludf.dummyfunction("""COMPUTED_VALUE"""),2)</f>
        <v>2</v>
      </c>
      <c r="D48" s="0" t="str">
        <f aca="false">IFERROR(__xludf.dummyfunction("""COMPUTED_VALUE"""),"AICI202102-13-1| Establecer mecanismos de sensibilización a los equipos primarios sobre la importancia de realización de las reuniones con la periodicidad y metodología establecida, enviando al área de calidad las actas realizadas. (01/06/2021 - 30/11/202"&amp;"1)")</f>
        <v>AICI202102-13-1| Establecer mecanismos de sensibilización a los equipos primarios sobre la importancia de realización de las reuniones con la periodicidad y metodología establecida, enviando al área de calidad las actas realizadas. (01/06/2021 - 30/11/2021)</v>
      </c>
      <c r="E48" s="0" t="str">
        <f aca="false">IFERROR(__xludf.dummyfunction("""COMPUTED_VALUE"""),"Se evidencia presentación actualizada de equipos primarios en la cual se resalta la  importancia de realización de las reuniones  con la periodicidad y metodología establecida, y el envío de actas al área de calidad. presentación equipos transversales par"&amp;"a la subred y equipos primarios calle 80, se anexa también acta de capacitación  de equipos primarios del 22122021 y cronogramas de reuniones programadas para 2022.")</f>
        <v>Se evidencia presentación actualizada de equipos primarios en la cual se resalta la  importancia de realización de las reuniones  con la periodicidad y metodología establecida, y el envío de actas al área de calidad. presentación equipos transversales para la subred y equipos primarios calle 80, se anexa también acta de capacitación  de equipos primarios del 22122021 y cronogramas de reuniones programadas para 2022.</v>
      </c>
      <c r="F48" s="0" t="str">
        <f aca="false">IFERROR(__xludf.dummyfunction("""COMPUTED_VALUE"""),"Completo")</f>
        <v>Completo</v>
      </c>
    </row>
    <row r="49" customFormat="false" ht="14.25" hidden="false" customHeight="false" outlineLevel="0" collapsed="false">
      <c r="A49" s="18" t="str">
        <f aca="false">IFERROR(MID(D49,1,FIND("|",D49)-1)&amp;"-"&amp;C49,"")</f>
        <v>AICI202102-13-2-2</v>
      </c>
      <c r="B49" s="19" t="n">
        <f aca="false">IFERROR(__xludf.dummyfunction("""COMPUTED_VALUE"""),44586)</f>
        <v>44586</v>
      </c>
      <c r="C49" s="0" t="n">
        <f aca="false">IFERROR(__xludf.dummyfunction("""COMPUTED_VALUE"""),2)</f>
        <v>2</v>
      </c>
      <c r="D49" s="0" t="str">
        <f aca="false">IFERROR(__xludf.dummyfunction("""COMPUTED_VALUE"""),"AICI202102-13-2| Evaluar la entrega y calidad de las actas de los equipos primarios de mejoramiento para la toma de acciones de mejora y retroalimentar a los directivos y líderes de los grupos de estándare el resultado de la evaluación. (01/09/2021 - 31/0"&amp;"1/2022)")</f>
        <v>AICI202102-13-2| Evaluar la entrega y calidad de las actas de los equipos primarios de mejoramiento para la toma de acciones de mejora y retroalimentar a los directivos y líderes de los grupos de estándare el resultado de la evaluación. (01/09/2021 - 31/01/2022)</v>
      </c>
      <c r="E49" s="0" t="str">
        <f aca="false">IFERROR(__xludf.dummyfunction("""COMPUTED_VALUE"""),"Se evidencia acta de análisis de calidad de las actas de los equipos primarios por parte de los profesionales de acreditación. En ellas se presenta el resultado de la revisión realizada  y se concluye que es necesario establecer una estrategia que permita"&amp;" la apropiación de la metodología de desarrollo de las reuniones de los equipos de mejoramiento. Esta acción se proyecta para diciembre. Se realiza reunión de capacitación de grupos primarios de calle 80 y se anexa acta. es necesario realizar otra medició"&amp;"n de calidad para evidenciar mejora y cerrar la acción.")</f>
        <v>Se evidencia acta de análisis de calidad de las actas de los equipos primarios por parte de los profesionales de acreditación. En ellas se presenta el resultado de la revisión realizada  y se concluye que es necesario establecer una estrategia que permita la apropiación de la metodología de desarrollo de las reuniones de los equipos de mejoramiento. Esta acción se proyecta para diciembre. Se realiza reunión de capacitación de grupos primarios de calle 80 y se anexa acta. es necesario realizar otra medición de calidad para evidenciar mejora y cerrar la acción.</v>
      </c>
      <c r="F49" s="0" t="str">
        <f aca="false">IFERROR(__xludf.dummyfunction("""COMPUTED_VALUE"""),"En desarrollo")</f>
        <v>En desarrollo</v>
      </c>
    </row>
    <row r="50" customFormat="false" ht="14.25" hidden="false" customHeight="false" outlineLevel="0" collapsed="false">
      <c r="A50" s="18" t="str">
        <f aca="false">IFERROR(MID(D50,1,FIND("|",D50)-1)&amp;"-"&amp;C50,"")</f>
        <v>AICI202102-12-2-2</v>
      </c>
      <c r="B50" s="19" t="n">
        <f aca="false">IFERROR(__xludf.dummyfunction("""COMPUTED_VALUE"""),44586)</f>
        <v>44586</v>
      </c>
      <c r="C50" s="0" t="n">
        <f aca="false">IFERROR(__xludf.dummyfunction("""COMPUTED_VALUE"""),2)</f>
        <v>2</v>
      </c>
      <c r="D50" s="0" t="str">
        <f aca="false">IFERROR(__xludf.dummyfunction("""COMPUTED_VALUE"""),"AICI202102-12-2| Medir la participación de los colaboradores en los equipos de autoevaluación para la formulaciòn de acciones de mejora y retroalimentar a los directivos y líderes de los grupos de estándares el resultado de la evaluación. (01/09/2021 - 31"&amp;"/01/2022)")</f>
        <v>AICI202102-12-2| Medir la participación de los colaboradores en los equipos de autoevaluación para la formulaciòn de acciones de mejora y retroalimentar a los directivos y líderes de los grupos de estándares el resultado de la evaluación. (01/09/2021 - 31/01/2022)</v>
      </c>
      <c r="E50" s="0" t="str">
        <f aca="false">IFERROR(__xludf.dummyfunction("""COMPUTED_VALUE"""),"Se informa que  se realizó autoevaluación de calle 80 con un cumplimiento de participación del 95%, pendiente medición de la autoevaluación general de la subred, programada para febrero - marzo de 2022. Esta acción deberá extenderse al mes de marzo para p"&amp;"oder hacer la medición del impacto correspondiente.")</f>
        <v>Se informa que  se realizó autoevaluación de calle 80 con un cumplimiento de participación del 95%, pendiente medición de la autoevaluación general de la subred, programada para febrero - marzo de 2022. Esta acción deberá extenderse al mes de marzo para poder hacer la medición del impacto correspondiente.</v>
      </c>
      <c r="F50" s="0" t="str">
        <f aca="false">IFERROR(__xludf.dummyfunction("""COMPUTED_VALUE"""),"En desarrollo")</f>
        <v>En desarrollo</v>
      </c>
    </row>
    <row r="51" customFormat="false" ht="14.25" hidden="false" customHeight="false" outlineLevel="0" collapsed="false">
      <c r="A51" s="18" t="str">
        <f aca="false">IFERROR(MID(D51,1,FIND("|",D51)-1)&amp;"-"&amp;C51,"")</f>
        <v>AICI202102-2-1-2</v>
      </c>
      <c r="B51" s="19" t="n">
        <f aca="false">IFERROR(__xludf.dummyfunction("""COMPUTED_VALUE"""),44585)</f>
        <v>44585</v>
      </c>
      <c r="C51" s="0" t="n">
        <f aca="false">IFERROR(__xludf.dummyfunction("""COMPUTED_VALUE"""),2)</f>
        <v>2</v>
      </c>
      <c r="D51" s="0" t="str">
        <f aca="false">IFERROR(__xludf.dummyfunction("""COMPUTED_VALUE"""),"AICI202102-2-1| Revisar, actualizar y normalizar la documentación que soporte las actividades y los procedimientos relacionadas con auditoría médica y PAMEC alineados con la actualización de procesos realizada (08/11/2021 - 31/03/2022)")</f>
        <v>AICI202102-2-1| Revisar, actualizar y normalizar la documentación que soporte las actividades y los procedimientos relacionadas con auditoría médica y PAMEC alineados con la actualización de procesos realizada (08/11/2021 - 31/03/2022)</v>
      </c>
      <c r="E51" s="0" t="str">
        <f aca="false">IFERROR(__xludf.dummyfunction("""COMPUTED_VALUE"""),"Se informa que se realizó diagnóstico al procedimiento de mejora continua y se actualizó documento de PAMEC.   El documento del PAMEC enviado presenta en el marco normativo la resolución 123 de 2012, la cual se encuentra derogada, no se describen las acti"&amp;"vidades realizadas en el programa de auditoría como la auditoría concurrente. no se presentan otros documentos.")</f>
        <v>Se informa que se realizó diagnóstico al procedimiento de mejora continua y se actualizó documento de PAMEC.   El documento del PAMEC enviado presenta en el marco normativo la resolución 123 de 2012, la cual se encuentra derogada, no se describen las actividades realizadas en el programa de auditoría como la auditoría concurrente. no se presentan otros documentos.</v>
      </c>
      <c r="F51" s="0" t="str">
        <f aca="false">IFERROR(__xludf.dummyfunction("""COMPUTED_VALUE"""),"En desarrollo")</f>
        <v>En desarrollo</v>
      </c>
    </row>
    <row r="52" customFormat="false" ht="14.25" hidden="false" customHeight="false" outlineLevel="0" collapsed="false">
      <c r="A52" s="18" t="str">
        <f aca="false">IFERROR(MID(D52,1,FIND("|",D52)-1)&amp;"-"&amp;C52,"")</f>
        <v>AICI202102-3-1-2</v>
      </c>
      <c r="B52" s="19" t="n">
        <f aca="false">IFERROR(__xludf.dummyfunction("""COMPUTED_VALUE"""),44585)</f>
        <v>44585</v>
      </c>
      <c r="C52" s="0" t="n">
        <f aca="false">IFERROR(__xludf.dummyfunction("""COMPUTED_VALUE"""),2)</f>
        <v>2</v>
      </c>
      <c r="D52" s="0" t="str">
        <f aca="false">IFERROR(__xludf.dummyfunction("""COMPUTED_VALUE"""),"AICI202102-3-1| Documentar y normalizar las actividades relacionadas con la emisión de conceptos médico científicos que incluya el registo y la trazabilidad para garantizar y respuesta oportuna y adecuada. (01/06/2021 - 31/08/2021)")</f>
        <v>AICI202102-3-1| Documentar y normalizar las actividades relacionadas con la emisión de conceptos médico científicos que incluya el registo y la trazabilidad para garantizar y respuesta oportuna y adecuada. (01/06/2021 - 31/08/2021)</v>
      </c>
      <c r="E52" s="0" t="str">
        <f aca="false">IFERROR(__xludf.dummyfunction("""COMPUTED_VALUE"""),"Se informa que se adjunta documento En los soportes enviados para la no conformidad No 3 no se evidencia documento de actividades de emisión de conceptos tecnicocientíficos")</f>
        <v>Se informa que se adjunta documento En los soportes enviados para la no conformidad No 3 no se evidencia documento de actividades de emisión de conceptos tecnicocientíficos</v>
      </c>
      <c r="F52" s="0" t="str">
        <f aca="false">IFERROR(__xludf.dummyfunction("""COMPUTED_VALUE"""),"Atrasado")</f>
        <v>Atrasado</v>
      </c>
    </row>
    <row r="53" customFormat="false" ht="14.25" hidden="false" customHeight="false" outlineLevel="0" collapsed="false">
      <c r="A53" s="18" t="str">
        <f aca="false">IFERROR(MID(D53,1,FIND("|",D53)-1)&amp;"-"&amp;C53,"")</f>
        <v>AICI202102-3-2-2</v>
      </c>
      <c r="B53" s="19" t="n">
        <f aca="false">IFERROR(__xludf.dummyfunction("""COMPUTED_VALUE"""),44585)</f>
        <v>44585</v>
      </c>
      <c r="C53" s="0" t="n">
        <f aca="false">IFERROR(__xludf.dummyfunction("""COMPUTED_VALUE"""),2)</f>
        <v>2</v>
      </c>
      <c r="D53" s="0" t="str">
        <f aca="false">IFERROR(__xludf.dummyfunction("""COMPUTED_VALUE"""),"AICI202102-3-2| Solicitar a Gestión documental capacitación en el manejo del archivo con base en los criterios establecidos. (01/06/2021 - 30/06/2021)")</f>
        <v>AICI202102-3-2| Solicitar a Gestión documental capacitación en el manejo del archivo con base en los criterios establecidos. (01/06/2021 - 30/06/2021)</v>
      </c>
      <c r="E53" s="0" t="str">
        <f aca="false">IFERROR(__xludf.dummyfunction("""COMPUTED_VALUE"""),"La acción se completó en el primer seguimiento")</f>
        <v>La acción se completó en el primer seguimiento</v>
      </c>
      <c r="F53" s="0" t="str">
        <f aca="false">IFERROR(__xludf.dummyfunction("""COMPUTED_VALUE"""),"Completo")</f>
        <v>Completo</v>
      </c>
    </row>
    <row r="54" customFormat="false" ht="14.25" hidden="false" customHeight="false" outlineLevel="0" collapsed="false">
      <c r="A54" s="18" t="str">
        <f aca="false">IFERROR(MID(D54,1,FIND("|",D54)-1)&amp;"-"&amp;C54,"")</f>
        <v>AICI202102-3-3-2</v>
      </c>
      <c r="B54" s="19" t="n">
        <f aca="false">IFERROR(__xludf.dummyfunction("""COMPUTED_VALUE"""),44585)</f>
        <v>44585</v>
      </c>
      <c r="C54" s="0" t="n">
        <f aca="false">IFERROR(__xludf.dummyfunction("""COMPUTED_VALUE"""),2)</f>
        <v>2</v>
      </c>
      <c r="D54" s="0" t="str">
        <f aca="false">IFERROR(__xludf.dummyfunction("""COMPUTED_VALUE"""),"AICI202102-3-3| Realizar capacitación al personal de auditoría en el manejo del archivo con base en los criterios establecidos por gestión documental. (01/07/2021 - 30/07/2021)")</f>
        <v>AICI202102-3-3| Realizar capacitación al personal de auditoría en el manejo del archivo con base en los criterios establecidos por gestión documental. (01/07/2021 - 30/07/2021)</v>
      </c>
      <c r="E54" s="0" t="str">
        <f aca="false">IFERROR(__xludf.dummyfunction("""COMPUTED_VALUE"""),"Se informa que desde calidad se estableció el procedimiento para la custodia de  la gestión documental pero el soporte referido no se evidenció")</f>
        <v>Se informa que desde calidad se estableció el procedimiento para la custodia de  la gestión documental pero el soporte referido no se evidenció</v>
      </c>
      <c r="F54" s="0" t="str">
        <f aca="false">IFERROR(__xludf.dummyfunction("""COMPUTED_VALUE"""),"Atrasado")</f>
        <v>Atrasado</v>
      </c>
    </row>
    <row r="55" customFormat="false" ht="14.25" hidden="false" customHeight="false" outlineLevel="0" collapsed="false">
      <c r="A55" s="18" t="str">
        <f aca="false">IFERROR(MID(D55,1,FIND("|",D55)-1)&amp;"-"&amp;C55,"")</f>
        <v>AICI202102-4-1-2</v>
      </c>
      <c r="B55" s="19" t="n">
        <f aca="false">IFERROR(__xludf.dummyfunction("""COMPUTED_VALUE"""),44585)</f>
        <v>44585</v>
      </c>
      <c r="C55" s="0" t="n">
        <f aca="false">IFERROR(__xludf.dummyfunction("""COMPUTED_VALUE"""),2)</f>
        <v>2</v>
      </c>
      <c r="D55" s="0" t="str">
        <f aca="false">IFERROR(__xludf.dummyfunction("""COMPUTED_VALUE"""),"AICI202102-4-1| Revisar, actualizar y normalizar la documentación que soporte las actividades del procedimiento de habilitación realizadas en la oficina de Calidad. (01/06/2021 - 31/08/2021)")</f>
        <v>AICI202102-4-1| Revisar, actualizar y normalizar la documentación que soporte las actividades del procedimiento de habilitación realizadas en la oficina de Calidad. (01/06/2021 - 31/08/2021)</v>
      </c>
      <c r="E55" s="0" t="str">
        <f aca="false">IFERROR(__xludf.dummyfunction("""COMPUTED_VALUE"""),"Se informa que se adjunta el formato normalizado de la herramienta de verificación de cumplimiento de condiciones del sistema único de habilitación Res. 3100 del 2019 con código ES-GC-F-110-02. Se verifica formato normalizado.  
Se revisan los documentos "&amp;"del SUH existentes en la intranet y se observa que
El procedimiento del SUH no ha sido actualizado aún. El documento INSTRUCTIVO
HERRAMIENTA DE VERIFICACIÓN Y SEGUIMIENTO DE  CUMPLIMIENTO DE CONDICIONES DEL SISTEMA ÚNICO DE HABILITACIÓN CÓDIGO: ES-GC-I-37"&amp;"-01, describe acciones y responsables del proceso de autoevaluación, estas acciones no son iguales a las descritas en el procedimiento del SUH (el instructivo dice que las respectivas áreas de la Subred serán responsables de la autoevaluación y el procedi"&amp;"miento dice que el responsable es el equipo de calidad). El tema de los seguimientos al  plan de intervención de habilitación y el seguimiento al cumplimiento no están descritos en el instructivo. Es necesario realizar los ajustes pertinentes. ")</f>
        <v>Se informa que se adjunta el formato normalizado de la herramienta de verificación de cumplimiento de condiciones del sistema único de habilitación Res. 3100 del 2019 con código ES-GC-F-110-02. Se verifica formato normalizado.  
Se revisan los documentos del SUH existentes en la intranet y se observa que
El procedimiento del SUH no ha sido actualizado aún. El documento INSTRUCTIVO
HERRAMIENTA DE VERIFICACIÓN Y SEGUIMIENTO DE  CUMPLIMIENTO DE CONDICIONES DEL SISTEMA ÚNICO DE HABILITACIÓN CÓDIGO: ES-GC-I-37-01, describe acciones y responsables del proceso de autoevaluación, estas acciones no son iguales a las descritas en el procedimiento del SUH (el instructivo dice que las respectivas áreas de la Subred serán responsables de la autoevaluación y el procedimiento dice que el responsable es el equipo de calidad). El tema de los seguimientos al  plan de intervención de habilitación y el seguimiento al cumplimiento no están descritos en el instructivo. Es necesario realizar los ajustes pertinentes. </v>
      </c>
      <c r="F55" s="0" t="str">
        <f aca="false">IFERROR(__xludf.dummyfunction("""COMPUTED_VALUE"""),"Atrasado")</f>
        <v>Atrasado</v>
      </c>
    </row>
    <row r="56" customFormat="false" ht="14.25" hidden="false" customHeight="false" outlineLevel="0" collapsed="false">
      <c r="A56" s="18" t="str">
        <f aca="false">IFERROR(MID(D56,1,FIND("|",D56)-1)&amp;"-"&amp;C56,"")</f>
        <v>AICI202102-12-1-2</v>
      </c>
      <c r="B56" s="19" t="n">
        <f aca="false">IFERROR(__xludf.dummyfunction("""COMPUTED_VALUE"""),44586)</f>
        <v>44586</v>
      </c>
      <c r="C56" s="0" t="n">
        <f aca="false">IFERROR(__xludf.dummyfunction("""COMPUTED_VALUE"""),2)</f>
        <v>2</v>
      </c>
      <c r="D56" s="0" t="str">
        <f aca="false">IFERROR(__xludf.dummyfunction("""COMPUTED_VALUE"""),"AICI202102-12-1| Establecer estrategias que permitan la apropiación y sensibilización de los equipos de Autoevaluación en la metodología de acreditación y su participación activa. (01/06/2021 - 31/08/2021)")</f>
        <v>AICI202102-12-1| Establecer estrategias que permitan la apropiación y sensibilización de los equipos de Autoevaluación en la metodología de acreditación y su participación activa. (01/06/2021 - 31/08/2021)</v>
      </c>
      <c r="E56" s="0" t="str">
        <f aca="false">IFERROR(__xludf.dummyfunction("""COMPUTED_VALUE"""),"Se informa que se estableció como estrategia la actualización de la capacitación en el moodle se anexan contenidos, no se describe claramente la estrategia como se desarrolla la capacitación, cuando se realiza y quienes participaran. Se informa que se act"&amp;"ualizaron los equipos de autoevaluación con sus miembros, se relaciona cuadro de excel. Se envían correos a los lideres para su revisión y se establece pieza comunicativa para incentivar la acción, se anexa soporte. Se crea equipo de autoevaluación de cal"&amp;"le 80 el cual sesiona quincenalmente y se crea el chat del equipo de autoevaluación. Es necesario presentar todos los soportes e información necesaria de la estrategia para explicar como se desarrollará la apropiación y sensibilización de los equipos de A"&amp;"utoevaluación. Se verificó presentación de moodle no se anexa el archivo por ser muy pesado")</f>
        <v>Se informa que se estableció como estrategia la actualización de la capacitación en el moodle se anexan contenidos, no se describe claramente la estrategia como se desarrolla la capacitación, cuando se realiza y quienes participaran. Se informa que se actualizaron los equipos de autoevaluación con sus miembros, se relaciona cuadro de excel. Se envían correos a los lideres para su revisión y se establece pieza comunicativa para incentivar la acción, se anexa soporte. Se crea equipo de autoevaluación de calle 80 el cual sesiona quincenalmente y se crea el chat del equipo de autoevaluación. Es necesario presentar todos los soportes e información necesaria de la estrategia para explicar como se desarrollará la apropiación y sensibilización de los equipos de Autoevaluación. Se verificó presentación de moodle no se anexa el archivo por ser muy pesado</v>
      </c>
      <c r="F56" s="0" t="str">
        <f aca="false">IFERROR(__xludf.dummyfunction("""COMPUTED_VALUE"""),"Atrasado")</f>
        <v>Atrasado</v>
      </c>
    </row>
    <row r="57" customFormat="false" ht="14.25" hidden="false" customHeight="false" outlineLevel="0" collapsed="false">
      <c r="A57" s="18" t="str">
        <f aca="false">IFERROR(MID(D57,1,FIND("|",D57)-1)&amp;"-"&amp;C57,"")</f>
        <v>AICI202102-1-1-2</v>
      </c>
      <c r="B57" s="19" t="n">
        <f aca="false">IFERROR(__xludf.dummyfunction("""COMPUTED_VALUE"""),44585)</f>
        <v>44585</v>
      </c>
      <c r="C57" s="0" t="n">
        <f aca="false">IFERROR(__xludf.dummyfunction("""COMPUTED_VALUE"""),2)</f>
        <v>2</v>
      </c>
      <c r="D57" s="0" t="str">
        <f aca="false">IFERROR(__xludf.dummyfunction("""COMPUTED_VALUE"""),"AICI202102-1-1| Revisar, actualizar y normalizar la documentación que soporte las actividades y los procedimientos realizados en la oficina de Calidad alineados con la actualización de procesos realizada (08/11/2021 - 31/03/2022)")</f>
        <v>AICI202102-1-1| Revisar, actualizar y normalizar la documentación que soporte las actividades y los procedimientos realizados en la oficina de Calidad alineados con la actualización de procesos realizada (08/11/2021 - 31/03/2022)</v>
      </c>
      <c r="E57" s="0" t="str">
        <f aca="false">IFERROR(__xludf.dummyfunction("""COMPUTED_VALUE"""),"Se informa que Se realizo un ejercicio de planeacion y diagnostico de procesos y procedimientos de la oficina de calidad con el acompañamiento de la oficina de desarrollo institucional . Se anexan soportes ")</f>
        <v>Se informa que Se realizo un ejercicio de planeacion y diagnostico de procesos y procedimientos de la oficina de calidad con el acompañamiento de la oficina de desarrollo institucional . Se anexan soportes </v>
      </c>
      <c r="F57" s="0" t="str">
        <f aca="false">IFERROR(__xludf.dummyfunction("""COMPUTED_VALUE"""),"En desarrollo")</f>
        <v>En desarrollo</v>
      </c>
    </row>
    <row r="58" customFormat="false" ht="14.25" hidden="false" customHeight="false" outlineLevel="0" collapsed="false">
      <c r="A58" s="18" t="str">
        <f aca="false">IFERROR(MID(D58,1,FIND("|",D58)-1)&amp;"-"&amp;C58,"")</f>
        <v>AICI202102-3-2-3</v>
      </c>
      <c r="B58" s="19" t="n">
        <f aca="false">IFERROR(__xludf.dummyfunction("""COMPUTED_VALUE"""),44592)</f>
        <v>44592</v>
      </c>
      <c r="C58" s="0" t="n">
        <f aca="false">IFERROR(__xludf.dummyfunction("""COMPUTED_VALUE"""),3)</f>
        <v>3</v>
      </c>
      <c r="D58" s="0" t="str">
        <f aca="false">IFERROR(__xludf.dummyfunction("""COMPUTED_VALUE"""),"AICI202102-3-2| Solicitar a Gestión documental capacitación en el manejo del archivo con base en los criterios establecidos. (01/06/2021 - 30/06/2021)")</f>
        <v>AICI202102-3-2| Solicitar a Gestión documental capacitación en el manejo del archivo con base en los criterios establecidos. (01/06/2021 - 30/06/2021)</v>
      </c>
      <c r="E58" s="0" t="str">
        <f aca="false">IFERROR(__xludf.dummyfunction("""COMPUTED_VALUE"""),"Esta acción se completó en seguimientos anteriores")</f>
        <v>Esta acción se completó en seguimientos anteriores</v>
      </c>
      <c r="F58" s="0" t="str">
        <f aca="false">IFERROR(__xludf.dummyfunction("""COMPUTED_VALUE"""),"Completo")</f>
        <v>Completo</v>
      </c>
    </row>
    <row r="59" customFormat="false" ht="14.25" hidden="false" customHeight="false" outlineLevel="0" collapsed="false">
      <c r="A59" s="18" t="str">
        <f aca="false">IFERROR(MID(D59,1,FIND("|",D59)-1)&amp;"-"&amp;C59,"")</f>
        <v>AICI202102-9-1-3</v>
      </c>
      <c r="B59" s="19" t="n">
        <f aca="false">IFERROR(__xludf.dummyfunction("""COMPUTED_VALUE"""),44592)</f>
        <v>44592</v>
      </c>
      <c r="C59" s="0" t="n">
        <f aca="false">IFERROR(__xludf.dummyfunction("""COMPUTED_VALUE"""),3)</f>
        <v>3</v>
      </c>
      <c r="D59" s="0" t="str">
        <f aca="false">IFERROR(__xludf.dummyfunction("""COMPUTED_VALUE"""),"AICI202102-9-1| Documentar y normalizar las actividades, responsables y tiempos para el lincenciamiento de los equipos generadores de radiaciones ionizantes. (01/06/2021 - 31/07/2021)")</f>
        <v>AICI202102-9-1| Documentar y normalizar las actividades, responsables y tiempos para el lincenciamiento de los equipos generadores de radiaciones ionizantes. (01/06/2021 - 31/07/2021)</v>
      </c>
      <c r="E59" s="0" t="str">
        <f aca="false">IFERROR(__xludf.dummyfunction("""COMPUTED_VALUE"""),"Se completó acción en primer seguimiento")</f>
        <v>Se completó acción en primer seguimiento</v>
      </c>
      <c r="F59" s="0" t="str">
        <f aca="false">IFERROR(__xludf.dummyfunction("""COMPUTED_VALUE"""),"Completo")</f>
        <v>Completo</v>
      </c>
    </row>
    <row r="60" customFormat="false" ht="14.25" hidden="false" customHeight="false" outlineLevel="0" collapsed="false">
      <c r="A60" s="18" t="str">
        <f aca="false">IFERROR(MID(D60,1,FIND("|",D60)-1)&amp;"-"&amp;C60,"")</f>
        <v>AICI202102-13-1-3</v>
      </c>
      <c r="B60" s="19" t="n">
        <f aca="false">IFERROR(__xludf.dummyfunction("""COMPUTED_VALUE"""),44592)</f>
        <v>44592</v>
      </c>
      <c r="C60" s="0" t="n">
        <f aca="false">IFERROR(__xludf.dummyfunction("""COMPUTED_VALUE"""),3)</f>
        <v>3</v>
      </c>
      <c r="D60" s="0" t="str">
        <f aca="false">IFERROR(__xludf.dummyfunction("""COMPUTED_VALUE"""),"AICI202102-13-1| Establecer mecanismos de sensibilización a los equipos primarios sobre la importancia de realización de las reuniones con la periodicidad y metodología establecida, enviando al área de calidad las actas realizadas. (01/06/2021 - 30/11/202"&amp;"1)")</f>
        <v>AICI202102-13-1| Establecer mecanismos de sensibilización a los equipos primarios sobre la importancia de realización de las reuniones con la periodicidad y metodología establecida, enviando al área de calidad las actas realizadas. (01/06/2021 - 30/11/2021)</v>
      </c>
      <c r="E60" s="0" t="str">
        <f aca="false">IFERROR(__xludf.dummyfunction("""COMPUTED_VALUE"""),"Esta acción se completó en los seguimientos pasados")</f>
        <v>Esta acción se completó en los seguimientos pasados</v>
      </c>
      <c r="F60" s="0" t="str">
        <f aca="false">IFERROR(__xludf.dummyfunction("""COMPUTED_VALUE"""),"Completo")</f>
        <v>Completo</v>
      </c>
    </row>
    <row r="61" customFormat="false" ht="14.25" hidden="false" customHeight="false" outlineLevel="0" collapsed="false">
      <c r="A61" s="18" t="str">
        <f aca="false">IFERROR(MID(D61,1,FIND("|",D61)-1)&amp;"-"&amp;C61,"")</f>
        <v>AICI202102-11-1-3</v>
      </c>
      <c r="B61" s="19" t="n">
        <f aca="false">IFERROR(__xludf.dummyfunction("""COMPUTED_VALUE"""),44592)</f>
        <v>44592</v>
      </c>
      <c r="C61" s="0" t="n">
        <f aca="false">IFERROR(__xludf.dummyfunction("""COMPUTED_VALUE"""),3)</f>
        <v>3</v>
      </c>
      <c r="D61" s="0" t="str">
        <f aca="false">IFERROR(__xludf.dummyfunction("""COMPUTED_VALUE"""),"AICI202102-11-1| Solicitar a Gestión documental capacitación en el manejo del archivo con base en los criterios establecidos. (01/06/2021 - 30/06/2021)")</f>
        <v>AICI202102-11-1| Solicitar a Gestión documental capacitación en el manejo del archivo con base en los criterios establecidos. (01/06/2021 - 30/06/2021)</v>
      </c>
      <c r="E61" s="0" t="str">
        <f aca="false">IFERROR(__xludf.dummyfunction("""COMPUTED_VALUE"""),"Esta acción se completó en los seguimientos pasados.")</f>
        <v>Esta acción se completó en los seguimientos pasados.</v>
      </c>
      <c r="F61" s="0" t="str">
        <f aca="false">IFERROR(__xludf.dummyfunction("""COMPUTED_VALUE"""),"Completo")</f>
        <v>Completo</v>
      </c>
    </row>
    <row r="62" customFormat="false" ht="14.25" hidden="false" customHeight="false" outlineLevel="0" collapsed="false">
      <c r="A62" s="18" t="str">
        <f aca="false">IFERROR(MID(D62,1,FIND("|",D62)-1)&amp;"-"&amp;C62,"")</f>
        <v>AICI202102-2-1-3</v>
      </c>
      <c r="B62" s="19" t="n">
        <f aca="false">IFERROR(__xludf.dummyfunction("""COMPUTED_VALUE"""),44592)</f>
        <v>44592</v>
      </c>
      <c r="C62" s="0" t="n">
        <f aca="false">IFERROR(__xludf.dummyfunction("""COMPUTED_VALUE"""),3)</f>
        <v>3</v>
      </c>
      <c r="D62" s="0" t="str">
        <f aca="false">IFERROR(__xludf.dummyfunction("""COMPUTED_VALUE"""),"AICI202102-2-1| Revisar, actualizar y normalizar la documentación que soporte las actividades y los procedimientos relacionadas con auditoría médica y PAMEC alineados con la actualización de procesos realizada (08/11/2021 - 31/03/2022)")</f>
        <v>AICI202102-2-1| Revisar, actualizar y normalizar la documentación que soporte las actividades y los procedimientos relacionadas con auditoría médica y PAMEC alineados con la actualización de procesos realizada (08/11/2021 - 31/03/2022)</v>
      </c>
      <c r="E62" s="0" t="str">
        <f aca="false">IFERROR(__xludf.dummyfunction("""COMPUTED_VALUE"""),"Se informa que  el documento PAMEC está en  revisión y ajustes para luego normalizar.  ")</f>
        <v>Se informa que  el documento PAMEC está en  revisión y ajustes para luego normalizar.  </v>
      </c>
      <c r="F62" s="0" t="str">
        <f aca="false">IFERROR(__xludf.dummyfunction("""COMPUTED_VALUE"""),"En desarrollo")</f>
        <v>En desarrollo</v>
      </c>
    </row>
    <row r="63" customFormat="false" ht="14.25" hidden="false" customHeight="false" outlineLevel="0" collapsed="false">
      <c r="A63" s="18" t="str">
        <f aca="false">IFERROR(MID(D63,1,FIND("|",D63)-1)&amp;"-"&amp;C63,"")</f>
        <v>AICI202102-1-1-3</v>
      </c>
      <c r="B63" s="19" t="n">
        <f aca="false">IFERROR(__xludf.dummyfunction("""COMPUTED_VALUE"""),44592)</f>
        <v>44592</v>
      </c>
      <c r="C63" s="0" t="n">
        <f aca="false">IFERROR(__xludf.dummyfunction("""COMPUTED_VALUE"""),3)</f>
        <v>3</v>
      </c>
      <c r="D63" s="0" t="str">
        <f aca="false">IFERROR(__xludf.dummyfunction("""COMPUTED_VALUE"""),"AICI202102-1-1| Revisar, actualizar y normalizar la documentación que soporte las actividades y los procedimientos realizados en la oficina de Calidad alineados con la actualización de procesos realizada (08/11/2021 - 31/03/2022)")</f>
        <v>AICI202102-1-1| Revisar, actualizar y normalizar la documentación que soporte las actividades y los procedimientos realizados en la oficina de Calidad alineados con la actualización de procesos realizada (08/11/2021 - 31/03/2022)</v>
      </c>
      <c r="E63" s="0" t="str">
        <f aca="false">IFERROR(__xludf.dummyfunction("""COMPUTED_VALUE"""),"No se reportó un avance diferente a lo consignado en el seguimiento anterior")</f>
        <v>No se reportó un avance diferente a lo consignado en el seguimiento anterior</v>
      </c>
      <c r="F63" s="0" t="str">
        <f aca="false">IFERROR(__xludf.dummyfunction("""COMPUTED_VALUE"""),"En desarrollo")</f>
        <v>En desarrollo</v>
      </c>
    </row>
    <row r="64" customFormat="false" ht="14.25" hidden="false" customHeight="false" outlineLevel="0" collapsed="false">
      <c r="A64" s="18" t="str">
        <f aca="false">IFERROR(MID(D64,1,FIND("|",D64)-1)&amp;"-"&amp;C64,"")</f>
        <v>AICI202102-3-1-3</v>
      </c>
      <c r="B64" s="19" t="n">
        <f aca="false">IFERROR(__xludf.dummyfunction("""COMPUTED_VALUE"""),44593)</f>
        <v>44593</v>
      </c>
      <c r="C64" s="0" t="n">
        <f aca="false">IFERROR(__xludf.dummyfunction("""COMPUTED_VALUE"""),3)</f>
        <v>3</v>
      </c>
      <c r="D64" s="0" t="str">
        <f aca="false">IFERROR(__xludf.dummyfunction("""COMPUTED_VALUE"""),"AICI202102-3-1| Documentar y normalizar las actividades relacionadas con la emisión de conceptos médico científicos que incluya el registo y la trazabilidad para garantizar y respuesta oportuna y adecuada. (01/06/2021 - 31/08/2021)")</f>
        <v>AICI202102-3-1| Documentar y normalizar las actividades relacionadas con la emisión de conceptos médico científicos que incluya el registo y la trazabilidad para garantizar y respuesta oportuna y adecuada. (01/06/2021 - 31/08/2021)</v>
      </c>
      <c r="E64" s="0" t="str">
        <f aca="false">IFERROR(__xludf.dummyfunction("""COMPUTED_VALUE"""),"Se evidencia formato de registro ""CONCEPTOS MÉDICO CIENTÍFICOS QUE INCLUYE EL REGISTRO Y LA TRAZABILIDAD PARA GARANTIZAR LA RESPUESTA OPORTUNA Y ADECUADA""  este formato es parte de la acción, pero no se presenta un manual/ instructivo/documento que desc"&amp;"riba las actividades que se realizan en el área de calidad cuando se emiten conceptos médico-científicos.  por lo tanto la acción no se ha completado. ")</f>
        <v>Se evidencia formato de registro "CONCEPTOS MÉDICO CIENTÍFICOS QUE INCLUYE EL REGISTRO Y LA TRAZABILIDAD PARA GARANTIZAR LA RESPUESTA OPORTUNA Y ADECUADA"  este formato es parte de la acción, pero no se presenta un manual/ instructivo/documento que describa las actividades que se realizan en el área de calidad cuando se emiten conceptos médico-científicos.  por lo tanto la acción no se ha completado. </v>
      </c>
      <c r="F64" s="0" t="str">
        <f aca="false">IFERROR(__xludf.dummyfunction("""COMPUTED_VALUE"""),"Atrasado")</f>
        <v>Atrasado</v>
      </c>
    </row>
    <row r="65" customFormat="false" ht="14.25" hidden="false" customHeight="false" outlineLevel="0" collapsed="false">
      <c r="A65" s="18" t="str">
        <f aca="false">IFERROR(MID(D65,1,FIND("|",D65)-1)&amp;"-"&amp;C65,"")</f>
        <v>AICI202102-3-3-3</v>
      </c>
      <c r="B65" s="19" t="n">
        <f aca="false">IFERROR(__xludf.dummyfunction("""COMPUTED_VALUE"""),44592)</f>
        <v>44592</v>
      </c>
      <c r="C65" s="0" t="n">
        <f aca="false">IFERROR(__xludf.dummyfunction("""COMPUTED_VALUE"""),3)</f>
        <v>3</v>
      </c>
      <c r="D65" s="0" t="str">
        <f aca="false">IFERROR(__xludf.dummyfunction("""COMPUTED_VALUE"""),"AICI202102-3-3| Realizar capacitación al personal de auditoría en el manejo del archivo con base en los criterios establecidos por gestión documental. (01/07/2021 - 30/07/2021)")</f>
        <v>AICI202102-3-3| Realizar capacitación al personal de auditoría en el manejo del archivo con base en los criterios establecidos por gestión documental. (01/07/2021 - 30/07/2021)</v>
      </c>
      <c r="E65" s="0" t="str">
        <f aca="false">IFERROR(__xludf.dummyfunction("""COMPUTED_VALUE"""),"Se informa que se envío correo al área de gestión documental para reiterar la solicitud de la capacitación  y que la capacitación fue programada para el miércoles 2 de febrero. por lo tanto aún no se ha podido completar la acción.")</f>
        <v>Se informa que se envío correo al área de gestión documental para reiterar la solicitud de la capacitación  y que la capacitación fue programada para el miércoles 2 de febrero. por lo tanto aún no se ha podido completar la acción.</v>
      </c>
      <c r="F65" s="0" t="str">
        <f aca="false">IFERROR(__xludf.dummyfunction("""COMPUTED_VALUE"""),"Atrasado")</f>
        <v>Atrasado</v>
      </c>
    </row>
    <row r="66" customFormat="false" ht="14.25" hidden="false" customHeight="false" outlineLevel="0" collapsed="false">
      <c r="A66" s="18" t="str">
        <f aca="false">IFERROR(MID(D66,1,FIND("|",D66)-1)&amp;"-"&amp;C66,"")</f>
        <v>AICI202102-3-4-3</v>
      </c>
      <c r="B66" s="19" t="n">
        <f aca="false">IFERROR(__xludf.dummyfunction("""COMPUTED_VALUE"""),44593)</f>
        <v>44593</v>
      </c>
      <c r="C66" s="0" t="n">
        <f aca="false">IFERROR(__xludf.dummyfunction("""COMPUTED_VALUE"""),3)</f>
        <v>3</v>
      </c>
      <c r="D66" s="0" t="str">
        <f aca="false">IFERROR(__xludf.dummyfunction("""COMPUTED_VALUE"""),"AICI202102-3-4| Realizar seguimiento a la implementación y cumplimiento de los los criterios de gestión documental para conservación de la información. (01/08/2021 - 31/12/2021)")</f>
        <v>AICI202102-3-4| Realizar seguimiento a la implementación y cumplimiento de los los criterios de gestión documental para conservación de la información. (01/08/2021 - 31/12/2021)</v>
      </c>
      <c r="E66" s="0" t="str">
        <f aca="false">IFERROR(__xludf.dummyfunction("""COMPUTED_VALUE"""),"Se realizó solicitud por correo a gestión documental, pendiente capacitación para implementar los criterios de archivo y hacer el seguimiento")</f>
        <v>Se realizó solicitud por correo a gestión documental, pendiente capacitación para implementar los criterios de archivo y hacer el seguimiento</v>
      </c>
      <c r="F66" s="0" t="str">
        <f aca="false">IFERROR(__xludf.dummyfunction("""COMPUTED_VALUE"""),"Atrasado")</f>
        <v>Atrasado</v>
      </c>
    </row>
    <row r="67" customFormat="false" ht="14.25" hidden="false" customHeight="false" outlineLevel="0" collapsed="false">
      <c r="A67" s="18" t="str">
        <f aca="false">IFERROR(MID(D67,1,FIND("|",D67)-1)&amp;"-"&amp;C67,"")</f>
        <v>AICI202102-4-1-3</v>
      </c>
      <c r="B67" s="19" t="n">
        <f aca="false">IFERROR(__xludf.dummyfunction("""COMPUTED_VALUE"""),44593)</f>
        <v>44593</v>
      </c>
      <c r="C67" s="0" t="n">
        <f aca="false">IFERROR(__xludf.dummyfunction("""COMPUTED_VALUE"""),3)</f>
        <v>3</v>
      </c>
      <c r="D67" s="0" t="str">
        <f aca="false">IFERROR(__xludf.dummyfunction("""COMPUTED_VALUE"""),"AICI202102-4-1| Revisar, actualizar y normalizar la documentación que soporte las actividades del procedimiento de habilitación realizadas en la oficina de Calidad. (01/06/2021 - 31/08/2021)")</f>
        <v>AICI202102-4-1| Revisar, actualizar y normalizar la documentación que soporte las actividades del procedimiento de habilitación realizadas en la oficina de Calidad. (01/06/2021 - 31/08/2021)</v>
      </c>
      <c r="E67" s="0" t="str">
        <f aca="false">IFERROR(__xludf.dummyfunction("""COMPUTED_VALUE"""),"Se adjunta  herramienta de verificación de cumplimiento condiciones  SUH esta fue revisada en el seguimiento anterior, se anexa además que el   SEGUIMIENTO AL PLAN DE INTERVENCIÓN A PARTIR DE LA AUTOEVALUACIÓN DE CONDICIONES DEL SISTEMA ÚNICO DE HABILITAC"&amp;"IÓN RESOLUCIÓN 3100 DE 2019 ESTANDARES TRANSVERSALES. esto no es correspondiente con esta acción.  Sigue pendiente actualización del SUH y la observación realizada:  el INSTRUCTIVO HERRAMIENTA DE VERIFICACIÓN Y SEGUIMIENTO DE  CUMPLIMIENTO DE CONDICIONES "&amp;"DEL SISTEMA ÚNICO DE HABILITACIÓN CÓDIGO: ES-GC-I-37-01, describe acciones y responsables del proceso de autoevaluación, estas acciones no son iguales a las descritas en el procedimiento del SUH (el instructivo dice que las respectivas áreas de la Subred "&amp;"serán responsables de la autoevaluación y el procedimiento dice que el responsable es el equipo de calidad). El tema de los seguimientos al  plan de intervención de habilitación y el seguimiento al cumplimiento no están descritos en el instructivo. Es nec"&amp;"esario realizar los ajustes pertinentes.")</f>
        <v>Se adjunta  herramienta de verificación de cumplimiento condiciones  SUH esta fue revisada en el seguimiento anterior, se anexa además que el   SEGUIMIENTO AL PLAN DE INTERVENCIÓN A PARTIR DE LA AUTOEVALUACIÓN DE CONDICIONES DEL SISTEMA ÚNICO DE HABILITACIÓN RESOLUCIÓN 3100 DE 2019 ESTANDARES TRANSVERSALES. esto no es correspondiente con esta acción.  Sigue pendiente actualización del SUH y la observación realizada:  el INSTRUCTIVO HERRAMIENTA DE VERIFICACIÓN Y SEGUIMIENTO DE  CUMPLIMIENTO DE CONDICIONES DEL SISTEMA ÚNICO DE HABILITACIÓN CÓDIGO: ES-GC-I-37-01, describe acciones y responsables del proceso de autoevaluación, estas acciones no son iguales a las descritas en el procedimiento del SUH (el instructivo dice que las respectivas áreas de la Subred serán responsables de la autoevaluación y el procedimiento dice que el responsable es el equipo de calidad). El tema de los seguimientos al  plan de intervención de habilitación y el seguimiento al cumplimiento no están descritos en el instructivo. Es necesario realizar los ajustes pertinentes.</v>
      </c>
      <c r="F67" s="0" t="str">
        <f aca="false">IFERROR(__xludf.dummyfunction("""COMPUTED_VALUE"""),"Atrasado")</f>
        <v>Atrasado</v>
      </c>
    </row>
    <row r="68" customFormat="false" ht="14.25" hidden="false" customHeight="false" outlineLevel="0" collapsed="false">
      <c r="A68" s="18" t="str">
        <f aca="false">IFERROR(MID(D68,1,FIND("|",D68)-1)&amp;"-"&amp;C68,"")</f>
        <v>AICI202102-5-1-3</v>
      </c>
      <c r="B68" s="19" t="n">
        <f aca="false">IFERROR(__xludf.dummyfunction("""COMPUTED_VALUE"""),44593)</f>
        <v>44593</v>
      </c>
      <c r="C68" s="0" t="n">
        <f aca="false">IFERROR(__xludf.dummyfunction("""COMPUTED_VALUE"""),3)</f>
        <v>3</v>
      </c>
      <c r="D68" s="0" t="str">
        <f aca="false">IFERROR(__xludf.dummyfunction("""COMPUTED_VALUE"""),"AICI202102-5-1| Establecer un mecanismo eficaz de comunicación entre auditoría concurrente y planes de mejora para la gestión de hallazgos reiterativos y la verificación del cumplimiento de las acciones (mesa de trabajo para análisis - definición de herra"&amp;"mientas - documentación). (01/06/2021 - 31/07/2021)")</f>
        <v>AICI202102-5-1| Establecer un mecanismo eficaz de comunicación entre auditoría concurrente y planes de mejora para la gestión de hallazgos reiterativos y la verificación del cumplimiento de las acciones (mesa de trabajo para análisis - definición de herramientas - documentación). (01/06/2021 - 31/07/2021)</v>
      </c>
      <c r="E68" s="0" t="str">
        <f aca="false">IFERROR(__xludf.dummyfunction("""COMPUTED_VALUE"""),"Se adjunta acta de definición reporte de hallazgos de auditoria concurrente y paciente trazador con el cual se establece un mecanismo eficaz de comunicación entre auditoría concurrente, paciente trazador  y planes de mejora.  ")</f>
        <v>Se adjunta acta de definición reporte de hallazgos de auditoria concurrente y paciente trazador con el cual se establece un mecanismo eficaz de comunicación entre auditoría concurrente, paciente trazador  y planes de mejora.  </v>
      </c>
      <c r="F68" s="0" t="str">
        <f aca="false">IFERROR(__xludf.dummyfunction("""COMPUTED_VALUE"""),"Completo")</f>
        <v>Completo</v>
      </c>
    </row>
    <row r="69" customFormat="false" ht="14.25" hidden="false" customHeight="false" outlineLevel="0" collapsed="false">
      <c r="A69" s="18" t="str">
        <f aca="false">IFERROR(MID(D69,1,FIND("|",D69)-1)&amp;"-"&amp;C69,"")</f>
        <v>AICI202102-5-2-3</v>
      </c>
      <c r="B69" s="19" t="n">
        <f aca="false">IFERROR(__xludf.dummyfunction("""COMPUTED_VALUE"""),44593)</f>
        <v>44593</v>
      </c>
      <c r="C69" s="0" t="n">
        <f aca="false">IFERROR(__xludf.dummyfunction("""COMPUTED_VALUE"""),3)</f>
        <v>3</v>
      </c>
      <c r="D69" s="0" t="str">
        <f aca="false">IFERROR(__xludf.dummyfunction("""COMPUTED_VALUE"""),"AICI202102-5-2| Documentar, socializar e implementar el mecanismo definido. (01/08/2021 - 28/02/2022)")</f>
        <v>AICI202102-5-2| Documentar, socializar e implementar el mecanismo definido. (01/08/2021 - 28/02/2022)</v>
      </c>
      <c r="E69" s="0" t="str">
        <f aca="false">IFERROR(__xludf.dummyfunction("""COMPUTED_VALUE"""),"Se adjunta acta de definición reporte de hallazgos de auditoria concurrente y paciente trazador con el cual se establece un mecanismo eficaz de comunicación entre auditoría concurrente, paciente trazador  y planes de mejora. No se evidencian soportes de d"&amp;"ocumentación  del mecanismo de comunicación  definido,  socialización de este mecanismo al equipo auditor y personal que interviene en el proceso, y tampoco se evidencian soportes de su  implementación.")</f>
        <v>Se adjunta acta de definición reporte de hallazgos de auditoria concurrente y paciente trazador con el cual se establece un mecanismo eficaz de comunicación entre auditoría concurrente, paciente trazador  y planes de mejora. No se evidencian soportes de documentación  del mecanismo de comunicación  definido,  socialización de este mecanismo al equipo auditor y personal que interviene en el proceso, y tampoco se evidencian soportes de su  implementación.</v>
      </c>
      <c r="F69" s="0" t="str">
        <f aca="false">IFERROR(__xludf.dummyfunction("""COMPUTED_VALUE"""),"Atrasado")</f>
        <v>Atrasado</v>
      </c>
    </row>
    <row r="70" customFormat="false" ht="14.25" hidden="false" customHeight="false" outlineLevel="0" collapsed="false">
      <c r="A70" s="18" t="str">
        <f aca="false">IFERROR(MID(D70,1,FIND("|",D70)-1)&amp;"-"&amp;C70,"")</f>
        <v>AICI202102-5-3-3</v>
      </c>
      <c r="B70" s="19" t="n">
        <f aca="false">IFERROR(__xludf.dummyfunction("""COMPUTED_VALUE"""),44593)</f>
        <v>44593</v>
      </c>
      <c r="C70" s="0" t="n">
        <f aca="false">IFERROR(__xludf.dummyfunction("""COMPUTED_VALUE"""),3)</f>
        <v>3</v>
      </c>
      <c r="D70" s="0" t="str">
        <f aca="false">IFERROR(__xludf.dummyfunction("""COMPUTED_VALUE"""),"AICI202102-5-3| Actualizar el informe de auditoría concurrente a la atención COVID con datos de 2021 y generar el plan de mejora. (01/06/2021 - 31/07/2021)")</f>
        <v>AICI202102-5-3| Actualizar el informe de auditoría concurrente a la atención COVID con datos de 2021 y generar el plan de mejora. (01/06/2021 - 31/07/2021)</v>
      </c>
      <c r="E70" s="0" t="str">
        <f aca="false">IFERROR(__xludf.dummyfunction("""COMPUTED_VALUE"""),"Se presenta informe de  AUDITORIA UCI  COVID AGOSTO 2021 y el INFORME PORCENTAJE DE CUMPLIMIENTO INDICADORES UCI COVID enero a diciembre de 2021. Los 2 informes  describen la oportunidades de mejora.  No se anexan soportes del plan de mejora generado. ")</f>
        <v>Se presenta informe de  AUDITORIA UCI  COVID AGOSTO 2021 y el INFORME PORCENTAJE DE CUMPLIMIENTO INDICADORES UCI COVID enero a diciembre de 2021. Los 2 informes  describen la oportunidades de mejora.  No se anexan soportes del plan de mejora generado. </v>
      </c>
      <c r="F70" s="0" t="str">
        <f aca="false">IFERROR(__xludf.dummyfunction("""COMPUTED_VALUE"""),"Atrasado")</f>
        <v>Atrasado</v>
      </c>
    </row>
    <row r="71" customFormat="false" ht="14.25" hidden="false" customHeight="false" outlineLevel="0" collapsed="false">
      <c r="A71" s="18" t="str">
        <f aca="false">IFERROR(MID(D71,1,FIND("|",D71)-1)&amp;"-"&amp;C71,"")</f>
        <v>AICI202102-6-1-3</v>
      </c>
      <c r="B71" s="19" t="n">
        <f aca="false">IFERROR(__xludf.dummyfunction("""COMPUTED_VALUE"""),44593)</f>
        <v>44593</v>
      </c>
      <c r="C71" s="0" t="n">
        <f aca="false">IFERROR(__xludf.dummyfunction("""COMPUTED_VALUE"""),3)</f>
        <v>3</v>
      </c>
      <c r="D71" s="0" t="str">
        <f aca="false">IFERROR(__xludf.dummyfunction("""COMPUTED_VALUE"""),"AICI202102-6-1| Generar un comunicado para los directores y líderes de servicios donde se reitere que las actas de las visitas y/o auditoría recibidas sean remitidas a la oficina de Calidad. (01/06/2021 - 31/07/2021)")</f>
        <v>AICI202102-6-1| Generar un comunicado para los directores y líderes de servicios donde se reitere que las actas de las visitas y/o auditoría recibidas sean remitidas a la oficina de Calidad. (01/06/2021 - 31/07/2021)</v>
      </c>
      <c r="E71" s="0" t="str">
        <f aca="false">IFERROR(__xludf.dummyfunction("""COMPUTED_VALUE"""),"Se anexa el soporte del correo enviado a los directores y lideres de servicio donde se reitera que las actas de las visitas y/o auditoria recibidas sean remitidas a la oficina de calidad")</f>
        <v>Se anexa el soporte del correo enviado a los directores y lideres de servicio donde se reitera que las actas de las visitas y/o auditoria recibidas sean remitidas a la oficina de calidad</v>
      </c>
      <c r="F71" s="0" t="str">
        <f aca="false">IFERROR(__xludf.dummyfunction("""COMPUTED_VALUE"""),"Completo")</f>
        <v>Completo</v>
      </c>
    </row>
    <row r="72" customFormat="false" ht="14.25" hidden="false" customHeight="false" outlineLevel="0" collapsed="false">
      <c r="A72" s="18" t="str">
        <f aca="false">IFERROR(MID(D72,1,FIND("|",D72)-1)&amp;"-"&amp;C72,"")</f>
        <v>AICI202102-6-2-3</v>
      </c>
      <c r="B72" s="19" t="n">
        <f aca="false">IFERROR(__xludf.dummyfunction("""COMPUTED_VALUE"""),44593)</f>
        <v>44593</v>
      </c>
      <c r="C72" s="0" t="n">
        <f aca="false">IFERROR(__xludf.dummyfunction("""COMPUTED_VALUE"""),3)</f>
        <v>3</v>
      </c>
      <c r="D72" s="0" t="str">
        <f aca="false">IFERROR(__xludf.dummyfunction("""COMPUTED_VALUE"""),"AICI202102-6-2| Definir un mecanismo que facilite la interacción con auditoría (concurrente y paciente trazador) para realizar la verificación de cumplimiento de las acciones propuestas en los servicios. (01/08/2021 - 31/12/2021)")</f>
        <v>AICI202102-6-2| Definir un mecanismo que facilite la interacción con auditoría (concurrente y paciente trazador) para realizar la verificación de cumplimiento de las acciones propuestas en los servicios. (01/08/2021 - 31/12/2021)</v>
      </c>
      <c r="E72" s="0" t="str">
        <f aca="false">IFERROR(__xludf.dummyfunction("""COMPUTED_VALUE"""),"Se adjunta acta de definición reporte de hallazgos de auditoria concurrente y paciente trazador con el cual se establece un mecanismo eficaz de comunicación entre auditoría concurrente, paciente trazador  y planes de mejora  ")</f>
        <v>Se adjunta acta de definición reporte de hallazgos de auditoria concurrente y paciente trazador con el cual se establece un mecanismo eficaz de comunicación entre auditoría concurrente, paciente trazador  y planes de mejora  </v>
      </c>
      <c r="F72" s="0" t="str">
        <f aca="false">IFERROR(__xludf.dummyfunction("""COMPUTED_VALUE"""),"Completo")</f>
        <v>Completo</v>
      </c>
    </row>
    <row r="73" customFormat="false" ht="14.25" hidden="false" customHeight="false" outlineLevel="0" collapsed="false">
      <c r="A73" s="18" t="str">
        <f aca="false">IFERROR(MID(D73,1,FIND("|",D73)-1)&amp;"-"&amp;C73,"")</f>
        <v>AICI202102-7-1-3</v>
      </c>
      <c r="B73" s="19" t="n">
        <f aca="false">IFERROR(__xludf.dummyfunction("""COMPUTED_VALUE"""),44593)</f>
        <v>44593</v>
      </c>
      <c r="C73" s="0" t="n">
        <f aca="false">IFERROR(__xludf.dummyfunction("""COMPUTED_VALUE"""),3)</f>
        <v>3</v>
      </c>
      <c r="D73" s="0" t="str">
        <f aca="false">IFERROR(__xludf.dummyfunction("""COMPUTED_VALUE"""),"AICI202102-7-1| Definir mecanismo para seguimiento y verificación de la impementación eficaz de las acciones articulado con auditoría (concurrente y paciente trazador). (01/06/2021 - 31/12/2021)")</f>
        <v>AICI202102-7-1| Definir mecanismo para seguimiento y verificación de la impementación eficaz de las acciones articulado con auditoría (concurrente y paciente trazador). (01/06/2021 - 31/12/2021)</v>
      </c>
      <c r="E73" s="0" t="str">
        <f aca="false">IFERROR(__xludf.dummyfunction("""COMPUTED_VALUE"""),"Se adjunta acta de definición reporte de hallazgos de auditoria concurrente y paciente trazador con el cual se establece un mecanismo eficaz de comunicación entre auditoría concurrente, paciente trazador  y planes de mejora en el se observan las actividad"&amp;"es a desarrollar para hacer los seguimientos a las acciones de mejora y la verificación de su implementación.")</f>
        <v>Se adjunta acta de definición reporte de hallazgos de auditoria concurrente y paciente trazador con el cual se establece un mecanismo eficaz de comunicación entre auditoría concurrente, paciente trazador  y planes de mejora en el se observan las actividades a desarrollar para hacer los seguimientos a las acciones de mejora y la verificación de su implementación.</v>
      </c>
      <c r="F73" s="0" t="str">
        <f aca="false">IFERROR(__xludf.dummyfunction("""COMPUTED_VALUE"""),"Completo")</f>
        <v>Completo</v>
      </c>
    </row>
    <row r="74" customFormat="false" ht="14.25" hidden="false" customHeight="false" outlineLevel="0" collapsed="false">
      <c r="A74" s="18" t="str">
        <f aca="false">IFERROR(MID(D74,1,FIND("|",D74)-1)&amp;"-"&amp;C74,"")</f>
        <v>AICI202102-8-1-3</v>
      </c>
      <c r="B74" s="19" t="n">
        <f aca="false">IFERROR(__xludf.dummyfunction("""COMPUTED_VALUE"""),44593)</f>
        <v>44593</v>
      </c>
      <c r="C74" s="0" t="n">
        <f aca="false">IFERROR(__xludf.dummyfunction("""COMPUTED_VALUE"""),3)</f>
        <v>3</v>
      </c>
      <c r="D74" s="0" t="str">
        <f aca="false">IFERROR(__xludf.dummyfunction("""COMPUTED_VALUE"""),"AICI202102-8-1| Validar la adecuación de la matriz existente para facilitar y garantizar el registro, monitoreo y control del cumplimiento de los requisitos de habilitación según Res. 3100 de 2019 y hacer los ajustes necesarios e implementarlos. (01/06/20"&amp;"21 - 31/08/2021)")</f>
        <v>AICI202102-8-1| Validar la adecuación de la matriz existente para facilitar y garantizar el registro, monitoreo y control del cumplimiento de los requisitos de habilitación según Res. 3100 de 2019 y hacer los ajustes necesarios e implementarlos. (01/06/2021 - 31/08/2021)</v>
      </c>
      <c r="E74" s="0" t="str">
        <f aca="false">IFERROR(__xludf.dummyfunction("""COMPUTED_VALUE"""),"Se adjuntó como soporte el seguimiento al plan de intervención estándares transversales . lo cual no responde al la acción formulada.
Teniendo en cuenta que el hallazgo refiere ""El procedimiento de SUH no cuenta con una matriz/sistema de información/arch"&amp;"ivo magnético u otro mecanismo que permita consignar, monitorear y controlar de manera rápida el estado actual del cumplimiento de los requisitos de habilitación de TODOS los estándares de habilitación de TODAS las sedes, según requisitos de la resolución"&amp;" 3100 de 2019, para facilitar la toma de decisiones sobre intervenciones a realizar desde el punto de vista administrativo o gerencial"".  La acción formulada  relativa a la adecuación  de la matriz existente para facilitar y garantizar el registro, monit"&amp;"oreo y control del cumplimiento de los requisitos de habilitación según res 3100 de 2019 y hacer los ajustes necesarios e implementarlos, debe enfocarse hacia la existencia de una matriz que permita registrar y monitorear y controlar de manera rápida,  el"&amp;" cumplimiento de TODOS los requisitos de los estándares de habilitación de TODAS  las sedes, de manera que  esta información facilite la  toma de decisiones sobre las intervenciones a realizar y se pueda dar cumplimiento a la acción para subsanar el halla"&amp;"zgo.")</f>
        <v>Se adjuntó como soporte el seguimiento al plan de intervención estándares transversales . lo cual no responde al la acción formulada.
Teniendo en cuenta que el hallazgo refiere "El procedimiento de SUH no cuenta con una matriz/sistema de información/archivo magnético u otro mecanismo que permita consignar, monitorear y controlar de manera rápida el estado actual del cumplimiento de los requisitos de habilitación de TODOS los estándares de habilitación de TODAS las sedes, según requisitos de la resolución 3100 de 2019, para facilitar la toma de decisiones sobre intervenciones a realizar desde el punto de vista administrativo o gerencial".  La acción formulada  relativa a la adecuación  de la matriz existente para facilitar y garantizar el registro, monitoreo y control del cumplimiento de los requisitos de habilitación según res 3100 de 2019 y hacer los ajustes necesarios e implementarlos, debe enfocarse hacia la existencia de una matriz que permita registrar y monitorear y controlar de manera rápida,  el cumplimiento de TODOS los requisitos de los estándares de habilitación de TODAS  las sedes, de manera que  esta información facilite la  toma de decisiones sobre las intervenciones a realizar y se pueda dar cumplimiento a la acción para subsanar el hallazgo.</v>
      </c>
      <c r="F74" s="0" t="str">
        <f aca="false">IFERROR(__xludf.dummyfunction("""COMPUTED_VALUE"""),"Atrasado")</f>
        <v>Atrasado</v>
      </c>
    </row>
    <row r="75" customFormat="false" ht="14.25" hidden="false" customHeight="false" outlineLevel="0" collapsed="false">
      <c r="A75" s="18" t="str">
        <f aca="false">IFERROR(MID(D75,1,FIND("|",D75)-1)&amp;"-"&amp;C75,"")</f>
        <v>AICI202102-9-2-3</v>
      </c>
      <c r="B75" s="19" t="n">
        <f aca="false">IFERROR(__xludf.dummyfunction("""COMPUTED_VALUE"""),44593)</f>
        <v>44593</v>
      </c>
      <c r="C75" s="0" t="n">
        <f aca="false">IFERROR(__xludf.dummyfunction("""COMPUTED_VALUE"""),3)</f>
        <v>3</v>
      </c>
      <c r="D75" s="0" t="str">
        <f aca="false">IFERROR(__xludf.dummyfunction("""COMPUTED_VALUE"""),"AICI202102-9-2| Realizar mesa de trabajo con las áreas involucradas (Subgerencia de prestación de servicios, Imagenología, Ingeniería Biomédica, Infraestructura) para socializar el documento generado con sus lineamientos y asignación de responsabilidades "&amp;"a Subgerencia de Prestación de Servicios, Ingeniería Biomédica, Imagenología, Infraestructura y Calidad dentro de la gestión para la expedición de las licencias de equipos generadores de radiaciones ionizantes. (01/08/2021 - 31/08/2021)")</f>
        <v>AICI202102-9-2| Realizar mesa de trabajo con las áreas involucradas (Subgerencia de prestación de servicios, Imagenología, Ingeniería Biomédica, Infraestructura) para socializar el documento generado con sus lineamientos y asignación de responsabilidades a Subgerencia de Prestación de Servicios, Ingeniería Biomédica, Imagenología, Infraestructura y Calidad dentro de la gestión para la expedición de las licencias de equipos generadores de radiaciones ionizantes. (01/08/2021 - 31/08/2021)</v>
      </c>
      <c r="E75" s="0" t="str">
        <f aca="false">IFERROR(__xludf.dummyfunction("""COMPUTED_VALUE"""),"Se adjunta Acta de reunión socialización licencia de practica medica Equipos generadores radiación ionizantes , en la cual se realizó socialización  A los 2 referentes de imágenes diagnósticas.  En el seguimiento anterior se informó que se encuentra pendi"&amp;"ente socialización  a talento humano, SST y otras áreas que aparecen como responsables de temas relacionados  en el instructivo de licencias.  de los cuales no se reportó socialización.")</f>
        <v>Se adjunta Acta de reunión socialización licencia de practica medica Equipos generadores radiación ionizantes , en la cual se realizó socialización  A los 2 referentes de imágenes diagnósticas.  En el seguimiento anterior se informó que se encuentra pendiente socialización  a talento humano, SST y otras áreas que aparecen como responsables de temas relacionados  en el instructivo de licencias.  de los cuales no se reportó socialización.</v>
      </c>
      <c r="F75" s="0" t="str">
        <f aca="false">IFERROR(__xludf.dummyfunction("""COMPUTED_VALUE"""),"Atrasado")</f>
        <v>Atrasado</v>
      </c>
    </row>
    <row r="76" customFormat="false" ht="14.25" hidden="false" customHeight="false" outlineLevel="0" collapsed="false">
      <c r="A76" s="18" t="str">
        <f aca="false">IFERROR(MID(D76,1,FIND("|",D76)-1)&amp;"-"&amp;C76,"")</f>
        <v>AICI202102-9-3-3</v>
      </c>
      <c r="B76" s="19" t="n">
        <f aca="false">IFERROR(__xludf.dummyfunction("""COMPUTED_VALUE"""),44593)</f>
        <v>44593</v>
      </c>
      <c r="C76" s="0" t="n">
        <f aca="false">IFERROR(__xludf.dummyfunction("""COMPUTED_VALUE"""),3)</f>
        <v>3</v>
      </c>
      <c r="D76" s="0" t="str">
        <f aca="false">IFERROR(__xludf.dummyfunction("""COMPUTED_VALUE"""),"AICI202102-9-3| Hacer seguimiento al cumplimiento oportuno de las actividades para la obtención y actualización de las licencias de los de equipos generadores de radiaciones ionizantes. (01/09/2021 - 31/12/2021)")</f>
        <v>AICI202102-9-3| Hacer seguimiento al cumplimiento oportuno de las actividades para la obtención y actualización de las licencias de los de equipos generadores de radiaciones ionizantes. (01/09/2021 - 31/12/2021)</v>
      </c>
      <c r="E76" s="0" t="str">
        <f aca="false">IFERROR(__xludf.dummyfunction("""COMPUTED_VALUE"""),"Se anexa matriz de seguimiento diligenciada a enero de 2022")</f>
        <v>Se anexa matriz de seguimiento diligenciada a enero de 2022</v>
      </c>
      <c r="F76" s="0" t="str">
        <f aca="false">IFERROR(__xludf.dummyfunction("""COMPUTED_VALUE"""),"Completo")</f>
        <v>Completo</v>
      </c>
    </row>
    <row r="77" customFormat="false" ht="14.25" hidden="false" customHeight="false" outlineLevel="0" collapsed="false">
      <c r="A77" s="18" t="str">
        <f aca="false">IFERROR(MID(D77,1,FIND("|",D77)-1)&amp;"-"&amp;C77,"")</f>
        <v>AICI202102-10-2-3</v>
      </c>
      <c r="B77" s="19" t="n">
        <f aca="false">IFERROR(__xludf.dummyfunction("""COMPUTED_VALUE"""),44593)</f>
        <v>44593</v>
      </c>
      <c r="C77" s="0" t="n">
        <f aca="false">IFERROR(__xludf.dummyfunction("""COMPUTED_VALUE"""),3)</f>
        <v>3</v>
      </c>
      <c r="D77" s="0" t="str">
        <f aca="false">IFERROR(__xludf.dummyfunction("""COMPUTED_VALUE"""),"AICI202102-10-2| Elaborar circular informativa para que los servicios y/o procesos remitan las actas de visitas o auditorías hechas por los entes de control a la oficina de Calidad para establecer plan de intervención o mejora, hacer seguimiento y estruct"&amp;"urar matriz y base documental de visitas de entes que generen investigaciones administrativas. (01/06/2021 - 31/08/2021)")</f>
        <v>AICI202102-10-2| Elaborar circular informativa para que los servicios y/o procesos remitan las actas de visitas o auditorías hechas por los entes de control a la oficina de Calidad para establecer plan de intervención o mejora, hacer seguimiento y estructurar matriz y base documental de visitas de entes que generen investigaciones administrativas. (01/06/2021 - 31/08/2021)</v>
      </c>
      <c r="E77" s="0" t="str">
        <f aca="false">IFERROR(__xludf.dummyfunction("""COMPUTED_VALUE"""),"Se anexa correo de socialización de lineamientos de gestión de comités , este soporte no es pertinente para esta acción
")</f>
        <v>Se anexa correo de socialización de lineamientos de gestión de comités , este soporte no es pertinente para esta acción
</v>
      </c>
      <c r="F77" s="0" t="str">
        <f aca="false">IFERROR(__xludf.dummyfunction("""COMPUTED_VALUE"""),"Atrasado")</f>
        <v>Atrasado</v>
      </c>
    </row>
    <row r="78" customFormat="false" ht="14.25" hidden="false" customHeight="false" outlineLevel="0" collapsed="false">
      <c r="A78" s="18" t="str">
        <f aca="false">IFERROR(MID(D78,1,FIND("|",D78)-1)&amp;"-"&amp;C78,"")</f>
        <v>AICI202102-11-1-3</v>
      </c>
      <c r="B78" s="19" t="n">
        <f aca="false">IFERROR(__xludf.dummyfunction("""COMPUTED_VALUE"""),44593)</f>
        <v>44593</v>
      </c>
      <c r="C78" s="0" t="n">
        <f aca="false">IFERROR(__xludf.dummyfunction("""COMPUTED_VALUE"""),3)</f>
        <v>3</v>
      </c>
      <c r="D78" s="0" t="str">
        <f aca="false">IFERROR(__xludf.dummyfunction("""COMPUTED_VALUE"""),"AICI202102-11-1| Solicitar a Gestión documental capacitación en el manejo del archivo con base en los criterios establecidos. (01/06/2021 - 30/06/2021)")</f>
        <v>AICI202102-11-1| Solicitar a Gestión documental capacitación en el manejo del archivo con base en los criterios establecidos. (01/06/2021 - 30/06/2021)</v>
      </c>
      <c r="E78" s="0" t="str">
        <f aca="false">IFERROR(__xludf.dummyfunction("""COMPUTED_VALUE"""),"Se informa que se envío correo al área de gestión documental para reiterar la solicitud de la capacitación  y que la capacitación fue programada para el miércoles 2 de febrero. por lo tanto aún no se ha podido completar la acción.")</f>
        <v>Se informa que se envío correo al área de gestión documental para reiterar la solicitud de la capacitación  y que la capacitación fue programada para el miércoles 2 de febrero. por lo tanto aún no se ha podido completar la acción.</v>
      </c>
      <c r="F78" s="0" t="str">
        <f aca="false">IFERROR(__xludf.dummyfunction("""COMPUTED_VALUE"""),"Atrasado")</f>
        <v>Atrasado</v>
      </c>
    </row>
    <row r="79" customFormat="false" ht="14.25" hidden="false" customHeight="false" outlineLevel="0" collapsed="false">
      <c r="A79" s="18" t="str">
        <f aca="false">IFERROR(MID(D79,1,FIND("|",D79)-1)&amp;"-"&amp;C79,"")</f>
        <v>AICI202102-11-3-3</v>
      </c>
      <c r="B79" s="19" t="n">
        <f aca="false">IFERROR(__xludf.dummyfunction("""COMPUTED_VALUE"""),44593)</f>
        <v>44593</v>
      </c>
      <c r="C79" s="0" t="n">
        <f aca="false">IFERROR(__xludf.dummyfunction("""COMPUTED_VALUE"""),3)</f>
        <v>3</v>
      </c>
      <c r="D79" s="0" t="str">
        <f aca="false">IFERROR(__xludf.dummyfunction("""COMPUTED_VALUE"""),"AICI202102-11-3| Realizar seguimiento a la implementación y cumplimiento de los los criterios de gestión documental para conservación de la información. (01/08/2021 - 31/12/2021)")</f>
        <v>AICI202102-11-3| Realizar seguimiento a la implementación y cumplimiento de los los criterios de gestión documental para conservación de la información. (01/08/2021 - 31/12/2021)</v>
      </c>
      <c r="E79" s="0" t="str">
        <f aca="false">IFERROR(__xludf.dummyfunction("""COMPUTED_VALUE"""),"Pendiente hasta que se realice capacitación, implementación de criterios de archivo y seguimiento.")</f>
        <v>Pendiente hasta que se realice capacitación, implementación de criterios de archivo y seguimiento.</v>
      </c>
      <c r="F79" s="0" t="str">
        <f aca="false">IFERROR(__xludf.dummyfunction("""COMPUTED_VALUE"""),"Atrasado")</f>
        <v>Atrasado</v>
      </c>
    </row>
    <row r="80" customFormat="false" ht="14.25" hidden="false" customHeight="false" outlineLevel="0" collapsed="false">
      <c r="A80" s="18" t="str">
        <f aca="false">IFERROR(MID(D80,1,FIND("|",D80)-1)&amp;"-"&amp;C80,"")</f>
        <v>AICI202102-11-1-3</v>
      </c>
      <c r="B80" s="19" t="n">
        <f aca="false">IFERROR(__xludf.dummyfunction("""COMPUTED_VALUE"""),44593)</f>
        <v>44593</v>
      </c>
      <c r="C80" s="0" t="n">
        <f aca="false">IFERROR(__xludf.dummyfunction("""COMPUTED_VALUE"""),3)</f>
        <v>3</v>
      </c>
      <c r="D80" s="0" t="str">
        <f aca="false">IFERROR(__xludf.dummyfunction("""COMPUTED_VALUE"""),"AICI202102-11-1| Solicitar a Gestión documental capacitación en el manejo del archivo con base en los criterios establecidos. (01/06/2021 - 30/06/2021)")</f>
        <v>AICI202102-11-1| Solicitar a Gestión documental capacitación en el manejo del archivo con base en los criterios establecidos. (01/06/2021 - 30/06/2021)</v>
      </c>
      <c r="E80" s="0" t="str">
        <f aca="false">IFERROR(__xludf.dummyfunction("""COMPUTED_VALUE"""),"Esta acción se completó en el primer seguimiento")</f>
        <v>Esta acción se completó en el primer seguimiento</v>
      </c>
      <c r="F80" s="0" t="str">
        <f aca="false">IFERROR(__xludf.dummyfunction("""COMPUTED_VALUE"""),"Completo")</f>
        <v>Completo</v>
      </c>
    </row>
    <row r="81" customFormat="false" ht="14.25" hidden="false" customHeight="false" outlineLevel="0" collapsed="false">
      <c r="A81" s="18" t="str">
        <f aca="false">IFERROR(MID(D81,1,FIND("|",D81)-1)&amp;"-"&amp;C81,"")</f>
        <v>AICI202102-11-2-3</v>
      </c>
      <c r="B81" s="19" t="n">
        <f aca="false">IFERROR(__xludf.dummyfunction("""COMPUTED_VALUE"""),44593)</f>
        <v>44593</v>
      </c>
      <c r="C81" s="0" t="n">
        <f aca="false">IFERROR(__xludf.dummyfunction("""COMPUTED_VALUE"""),3)</f>
        <v>3</v>
      </c>
      <c r="D81" s="0" t="str">
        <f aca="false">IFERROR(__xludf.dummyfunction("""COMPUTED_VALUE"""),"AICI202102-11-2| Realizar capacitación al personal de habilitación en el manejo del archivo con base en los criterios establecidos por gestión documental. (01/07/2021 - 30/07/2021)")</f>
        <v>AICI202102-11-2| Realizar capacitación al personal de habilitación en el manejo del archivo con base en los criterios establecidos por gestión documental. (01/07/2021 - 30/07/2021)</v>
      </c>
      <c r="E81" s="0" t="str">
        <f aca="false">IFERROR(__xludf.dummyfunction("""COMPUTED_VALUE"""),"Se informa que se envío correo al área de gestión documental para reiterar la solicitud de la capacitación  y que la capacitación fue programada para el miércoles 2 de febrero. por lo tanto aún no se ha podido completar la acción.")</f>
        <v>Se informa que se envío correo al área de gestión documental para reiterar la solicitud de la capacitación  y que la capacitación fue programada para el miércoles 2 de febrero. por lo tanto aún no se ha podido completar la acción.</v>
      </c>
      <c r="F81" s="0" t="str">
        <f aca="false">IFERROR(__xludf.dummyfunction("""COMPUTED_VALUE"""),"Atrasado")</f>
        <v>Atrasado</v>
      </c>
    </row>
    <row r="82" customFormat="false" ht="14.25" hidden="false" customHeight="false" outlineLevel="0" collapsed="false">
      <c r="A82" s="18" t="str">
        <f aca="false">IFERROR(MID(D82,1,FIND("|",D82)-1)&amp;"-"&amp;C82,"")</f>
        <v>AICI202102-11-3-3</v>
      </c>
      <c r="B82" s="19" t="n">
        <f aca="false">IFERROR(__xludf.dummyfunction("""COMPUTED_VALUE"""),44593)</f>
        <v>44593</v>
      </c>
      <c r="C82" s="0" t="n">
        <f aca="false">IFERROR(__xludf.dummyfunction("""COMPUTED_VALUE"""),3)</f>
        <v>3</v>
      </c>
      <c r="D82" s="0" t="str">
        <f aca="false">IFERROR(__xludf.dummyfunction("""COMPUTED_VALUE"""),"AICI202102-11-3| Realizar seguimiento a la implementación y cumplimiento de los los criterios de gestión documental para conservación de la información. (01/08/2021 - 31/12/2021)")</f>
        <v>AICI202102-11-3| Realizar seguimiento a la implementación y cumplimiento de los los criterios de gestión documental para conservación de la información. (01/08/2021 - 31/12/2021)</v>
      </c>
      <c r="E82" s="0" t="str">
        <f aca="false">IFERROR(__xludf.dummyfunction("""COMPUTED_VALUE"""),"Pendiente hasta que se realice capacitación , implementación de criterios de archivo y seguimiento..")</f>
        <v>Pendiente hasta que se realice capacitación , implementación de criterios de archivo y seguimiento..</v>
      </c>
      <c r="F82" s="0" t="str">
        <f aca="false">IFERROR(__xludf.dummyfunction("""COMPUTED_VALUE"""),"Atrasado")</f>
        <v>Atrasado</v>
      </c>
    </row>
    <row r="83" customFormat="false" ht="14.25" hidden="false" customHeight="false" outlineLevel="0" collapsed="false">
      <c r="A83" s="18" t="str">
        <f aca="false">IFERROR(MID(D83,1,FIND("|",D83)-1)&amp;"-"&amp;C83,"")</f>
        <v>AICI202102-12-2-3</v>
      </c>
      <c r="B83" s="19" t="n">
        <f aca="false">IFERROR(__xludf.dummyfunction("""COMPUTED_VALUE"""),44594)</f>
        <v>44594</v>
      </c>
      <c r="C83" s="0" t="n">
        <f aca="false">IFERROR(__xludf.dummyfunction("""COMPUTED_VALUE"""),3)</f>
        <v>3</v>
      </c>
      <c r="D83" s="0" t="str">
        <f aca="false">IFERROR(__xludf.dummyfunction("""COMPUTED_VALUE"""),"AICI202102-12-2| Medir la participación de los colaboradores en los equipos de autoevaluación para la formulaciòn de acciones de mejora y retroalimentar a los directivos y líderes de los grupos de estándares el resultado de la evaluación. (01/09/2021 - 31"&amp;"/01/2022)")</f>
        <v>AICI202102-12-2| Medir la participación de los colaboradores en los equipos de autoevaluación para la formulaciòn de acciones de mejora y retroalimentar a los directivos y líderes de los grupos de estándares el resultado de la evaluación. (01/09/2021 - 31/01/2022)</v>
      </c>
      <c r="E83" s="0" t="str">
        <f aca="false">IFERROR(__xludf.dummyfunction("""COMPUTED_VALUE"""),"No se presentaron avances de la acción")</f>
        <v>No se presentaron avances de la acción</v>
      </c>
      <c r="F83" s="0" t="str">
        <f aca="false">IFERROR(__xludf.dummyfunction("""COMPUTED_VALUE"""),"En desarrollo")</f>
        <v>En desarrollo</v>
      </c>
    </row>
    <row r="84" customFormat="false" ht="14.25" hidden="false" customHeight="false" outlineLevel="0" collapsed="false">
      <c r="A84" s="18" t="str">
        <f aca="false">IFERROR(MID(D84,1,FIND("|",D84)-1)&amp;"-"&amp;C84,"")</f>
        <v>AICI202102-12-1-3</v>
      </c>
      <c r="B84" s="19" t="n">
        <f aca="false">IFERROR(__xludf.dummyfunction("""COMPUTED_VALUE"""),44594)</f>
        <v>44594</v>
      </c>
      <c r="C84" s="0" t="n">
        <f aca="false">IFERROR(__xludf.dummyfunction("""COMPUTED_VALUE"""),3)</f>
        <v>3</v>
      </c>
      <c r="D84" s="0" t="str">
        <f aca="false">IFERROR(__xludf.dummyfunction("""COMPUTED_VALUE"""),"AICI202102-12-1| Establecer estrategias que permitan la apropiación y sensibilización de los equipos de Autoevaluación en la metodología de acreditación y su participación activa. (01/06/2021 - 31/08/2021)")</f>
        <v>AICI202102-12-1| Establecer estrategias que permitan la apropiación y sensibilización de los equipos de Autoevaluación en la metodología de acreditación y su participación activa. (01/06/2021 - 31/08/2021)</v>
      </c>
      <c r="E84" s="0" t="str">
        <f aca="false">IFERROR(__xludf.dummyfunction("""COMPUTED_VALUE"""),"Se anexa  INFORME DE LOS RESULTADOS DE LAS ACTIVIDADES DE FORTALECIMIENTO DE LAS COMPETENCIAS ASOCIADAS AL SISTEMA ÚNICO DE ACREDITACIÓN (SUA  el cual describe la estrategia realizada y sus respectivos soportes (cotización del diplomado de hospital univer"&amp;"sitario, estudios previos de bienes y servicios, informe de fortalecimiento de competencias, moodle.) solo se cargan algunos soportes al drive, debido al peso de los archivos")</f>
        <v>Se anexa  INFORME DE LOS RESULTADOS DE LAS ACTIVIDADES DE FORTALECIMIENTO DE LAS COMPETENCIAS ASOCIADAS AL SISTEMA ÚNICO DE ACREDITACIÓN (SUA  el cual describe la estrategia realizada y sus respectivos soportes (cotización del diplomado de hospital universitario, estudios previos de bienes y servicios, informe de fortalecimiento de competencias, moodle.) solo se cargan algunos soportes al drive, debido al peso de los archivos</v>
      </c>
      <c r="F84" s="0" t="str">
        <f aca="false">IFERROR(__xludf.dummyfunction("""COMPUTED_VALUE"""),"Completo")</f>
        <v>Completo</v>
      </c>
    </row>
    <row r="85" customFormat="false" ht="14.25" hidden="false" customHeight="false" outlineLevel="0" collapsed="false">
      <c r="A85" s="18" t="str">
        <f aca="false">IFERROR(MID(D85,1,FIND("|",D85)-1)&amp;"-"&amp;C85,"")</f>
        <v>AICI202102-13-2-3</v>
      </c>
      <c r="B85" s="19" t="n">
        <f aca="false">IFERROR(__xludf.dummyfunction("""COMPUTED_VALUE"""),44594)</f>
        <v>44594</v>
      </c>
      <c r="C85" s="0" t="n">
        <f aca="false">IFERROR(__xludf.dummyfunction("""COMPUTED_VALUE"""),3)</f>
        <v>3</v>
      </c>
      <c r="D85" s="0" t="str">
        <f aca="false">IFERROR(__xludf.dummyfunction("""COMPUTED_VALUE"""),"AICI202102-13-2| Evaluar la entrega y calidad de las actas de los equipos primarios de mejoramiento para la toma de acciones de mejora y retroalimentar a los directivos y líderes de los grupos de estándare el resultado de la evaluación. (01/09/2021 - 31/0"&amp;"1/2022)")</f>
        <v>AICI202102-13-2| Evaluar la entrega y calidad de las actas de los equipos primarios de mejoramiento para la toma de acciones de mejora y retroalimentar a los directivos y líderes de los grupos de estándare el resultado de la evaluación. (01/09/2021 - 31/01/2022)</v>
      </c>
      <c r="E85" s="0" t="str">
        <f aca="false">IFERROR(__xludf.dummyfunction("""COMPUTED_VALUE"""),"No se reportó avance adicional")</f>
        <v>No se reportó avance adicional</v>
      </c>
      <c r="F85" s="0" t="str">
        <f aca="false">IFERROR(__xludf.dummyfunction("""COMPUTED_VALUE"""),"En desarrollo")</f>
        <v>En desarrollo</v>
      </c>
    </row>
    <row r="86" customFormat="false" ht="14.25" hidden="false" customHeight="false" outlineLevel="0" collapsed="false">
      <c r="A86" s="18" t="str">
        <f aca="false">IFERROR(MID(D86,1,FIND("|",D86)-1)&amp;"-"&amp;C86,"")</f>
        <v>AICI202102-10-1-3</v>
      </c>
      <c r="B86" s="19" t="n">
        <f aca="false">IFERROR(__xludf.dummyfunction("""COMPUTED_VALUE"""),44593)</f>
        <v>44593</v>
      </c>
      <c r="C86" s="0" t="n">
        <f aca="false">IFERROR(__xludf.dummyfunction("""COMPUTED_VALUE"""),3)</f>
        <v>3</v>
      </c>
      <c r="D86" s="0" t="str">
        <f aca="false">IFERROR(__xludf.dummyfunction("""COMPUTED_VALUE"""),"AICI202102-10-1| Revisar la adecuación de los formatos existentes para el seguimiento a autos comisorios, realizar los ajustes necesarios e implementarlos. (01/06/2021 - 31/08/2021)")</f>
        <v>AICI202102-10-1| Revisar la adecuación de los formatos existentes para el seguimiento a autos comisorios, realizar los ajustes necesarios e implementarlos. (01/06/2021 - 31/08/2021)</v>
      </c>
      <c r="E86" s="0" t="str">
        <f aca="false">IFERROR(__xludf.dummyfunction("""COMPUTED_VALUE"""),"Esta acción se completó en el primer seguimiento")</f>
        <v>Esta acción se completó en el primer seguimiento</v>
      </c>
      <c r="F86" s="0" t="str">
        <f aca="false">IFERROR(__xludf.dummyfunction("""COMPUTED_VALUE"""),"Completo")</f>
        <v>Completo</v>
      </c>
    </row>
    <row r="87" customFormat="false" ht="14.25" hidden="false" customHeight="false" outlineLevel="0" collapsed="false">
      <c r="A87" s="18" t="str">
        <f aca="false">IFERROR(MID(D87,1,FIND("|",D87)-1)&amp;"-"&amp;C87,"")</f>
        <v>AICI202102-1-1-4</v>
      </c>
      <c r="B87" s="19" t="n">
        <f aca="false">IFERROR(__xludf.dummyfunction("""COMPUTED_VALUE"""),44656)</f>
        <v>44656</v>
      </c>
      <c r="C87" s="0" t="n">
        <f aca="false">IFERROR(__xludf.dummyfunction("""COMPUTED_VALUE"""),4)</f>
        <v>4</v>
      </c>
      <c r="D87" s="0" t="str">
        <f aca="false">IFERROR(__xludf.dummyfunction("""COMPUTED_VALUE"""),"AICI202102-1-1| Revisar, actualizar y normalizar la documentación que soporte las actividades y los procedimientos realizados en la oficina de Calidad alineados con la actualización de procesos realizada (08/11/2021 - 31/03/2022)")</f>
        <v>AICI202102-1-1| Revisar, actualizar y normalizar la documentación que soporte las actividades y los procedimientos realizados en la oficina de Calidad alineados con la actualización de procesos realizada (08/11/2021 - 31/03/2022)</v>
      </c>
      <c r="E87" s="0" t="str">
        <f aca="false">IFERROR(__xludf.dummyfunction("""COMPUTED_VALUE"""),"Se informa que ""Por directriz de Desarrollo Institucional y quienes lideran el proceso de actualización de los procedimientos, en el mes de febrero enviaron encuesta mediante formulario de Google para definir que procedimientos continúan, cuales se anula"&amp;"n y cuales son los nuevos"".  Aún no se evidencian soportes  de actualización y normalización de los procedimientos de calidad")</f>
        <v>Se informa que "Por directriz de Desarrollo Institucional y quienes lideran el proceso de actualización de los procedimientos, en el mes de febrero enviaron encuesta mediante formulario de Google para definir que procedimientos continúan, cuales se anulan y cuales son los nuevos".  Aún no se evidencian soportes  de actualización y normalización de los procedimientos de calidad</v>
      </c>
      <c r="F87" s="0" t="str">
        <f aca="false">IFERROR(__xludf.dummyfunction("""COMPUTED_VALUE"""),"Atrasado")</f>
        <v>Atrasado</v>
      </c>
    </row>
    <row r="88" customFormat="false" ht="14.25" hidden="false" customHeight="false" outlineLevel="0" collapsed="false">
      <c r="A88" s="18" t="str">
        <f aca="false">IFERROR(MID(D88,1,FIND("|",D88)-1)&amp;"-"&amp;C88,"")</f>
        <v>AICI202102-2-1-4</v>
      </c>
      <c r="B88" s="19" t="n">
        <f aca="false">IFERROR(__xludf.dummyfunction("""COMPUTED_VALUE"""),44656)</f>
        <v>44656</v>
      </c>
      <c r="C88" s="0" t="n">
        <f aca="false">IFERROR(__xludf.dummyfunction("""COMPUTED_VALUE"""),4)</f>
        <v>4</v>
      </c>
      <c r="D88" s="0" t="str">
        <f aca="false">IFERROR(__xludf.dummyfunction("""COMPUTED_VALUE"""),"AICI202102-2-1| Revisar, actualizar y normalizar la documentación que soporte las actividades y los procedimientos relacionadas con auditoría médica y PAMEC alineados con la actualización de procesos realizada (08/11/2021 - 31/03/2022)")</f>
        <v>AICI202102-2-1| Revisar, actualizar y normalizar la documentación que soporte las actividades y los procedimientos relacionadas con auditoría médica y PAMEC alineados con la actualización de procesos realizada (08/11/2021 - 31/03/2022)</v>
      </c>
      <c r="E88" s="0" t="str">
        <f aca="false">IFERROR(__xludf.dummyfunction("""COMPUTED_VALUE"""),"Se anexa el documento  MANUAL DEL PROGRAMA DE AUDITORÍA PARA EL
MEJORAMIENTO DE LA CALIDAD CÓDIGO: ES-GC-M-04-04 VERSIÓN: 4, el cual se encuentra publicado en la intranet, con lo cual se completa la acción.")</f>
        <v>Se anexa el documento  MANUAL DEL PROGRAMA DE AUDITORÍA PARA EL
MEJORAMIENTO DE LA CALIDAD CÓDIGO: ES-GC-M-04-04 VERSIÓN: 4, el cual se encuentra publicado en la intranet, con lo cual se completa la acción.</v>
      </c>
      <c r="F88" s="0" t="str">
        <f aca="false">IFERROR(__xludf.dummyfunction("""COMPUTED_VALUE"""),"Completo")</f>
        <v>Completo</v>
      </c>
      <c r="G88" s="0" t="str">
        <f aca="false">IFERROR(__xludf.dummyfunction("""COMPUTED_VALUE"""),"Sí")</f>
        <v>Sí</v>
      </c>
    </row>
    <row r="89" customFormat="false" ht="14.25" hidden="false" customHeight="false" outlineLevel="0" collapsed="false">
      <c r="A89" s="18" t="str">
        <f aca="false">IFERROR(MID(D89,1,FIND("|",D89)-1)&amp;"-"&amp;C89,"")</f>
        <v>AICI202102-3-1-4</v>
      </c>
      <c r="B89" s="19" t="n">
        <f aca="false">IFERROR(__xludf.dummyfunction("""COMPUTED_VALUE"""),44656)</f>
        <v>44656</v>
      </c>
      <c r="C89" s="0" t="n">
        <f aca="false">IFERROR(__xludf.dummyfunction("""COMPUTED_VALUE"""),4)</f>
        <v>4</v>
      </c>
      <c r="D89" s="0" t="str">
        <f aca="false">IFERROR(__xludf.dummyfunction("""COMPUTED_VALUE"""),"AICI202102-3-1| Documentar y normalizar las actividades relacionadas con la emisión de conceptos médico científicos que incluya el registo y la trazabilidad para garantizar y respuesta oportuna y adecuada. (01/06/2021 - 31/08/2021)")</f>
        <v>AICI202102-3-1| Documentar y normalizar las actividades relacionadas con la emisión de conceptos médico científicos que incluya el registo y la trazabilidad para garantizar y respuesta oportuna y adecuada. (01/06/2021 - 31/08/2021)</v>
      </c>
      <c r="E89" s="0" t="str">
        <f aca="false">IFERROR(__xludf.dummyfunction("""COMPUTED_VALUE"""),"El proceso de conceptos médicos se encuentra descrito en el  MANUAL DEL PROGRAMA DE AUDITORÍA PARA EL MEJORAMIENTO DE LA CALIDAD CÓDIGO: ES-GC-M-04-04
VERSIÓN: 4 publicado en la intranet. Se adjunta documento normalizado ES-GC-F-115-01 Conceptos médico ci"&amp;"entíficos que incluye el registro y la trazabilidad para garantizar la respuesta oportuna y adecuada. Este documento se encuentra publicado en la intranet institucional. se toma foto del drive donde se lleva control, ver anexo")</f>
        <v>El proceso de conceptos médicos se encuentra descrito en el  MANUAL DEL PROGRAMA DE AUDITORÍA PARA EL MEJORAMIENTO DE LA CALIDAD CÓDIGO: ES-GC-M-04-04
VERSIÓN: 4 publicado en la intranet. Se adjunta documento normalizado ES-GC-F-115-01 Conceptos médico científicos que incluye el registro y la trazabilidad para garantizar la respuesta oportuna y adecuada. Este documento se encuentra publicado en la intranet institucional. se toma foto del drive donde se lleva control, ver anexo</v>
      </c>
      <c r="F89" s="0" t="str">
        <f aca="false">IFERROR(__xludf.dummyfunction("""COMPUTED_VALUE"""),"Completo")</f>
        <v>Completo</v>
      </c>
      <c r="G89" s="0" t="str">
        <f aca="false">IFERROR(__xludf.dummyfunction("""COMPUTED_VALUE"""),"Sí")</f>
        <v>Sí</v>
      </c>
    </row>
    <row r="90" customFormat="false" ht="14.25" hidden="false" customHeight="false" outlineLevel="0" collapsed="false">
      <c r="A90" s="18" t="str">
        <f aca="false">IFERROR(MID(D90,1,FIND("|",D90)-1)&amp;"-"&amp;C90,"")</f>
        <v>AICI202102-3-3-4</v>
      </c>
      <c r="B90" s="19" t="n">
        <f aca="false">IFERROR(__xludf.dummyfunction("""COMPUTED_VALUE"""),44656)</f>
        <v>44656</v>
      </c>
      <c r="C90" s="0" t="n">
        <f aca="false">IFERROR(__xludf.dummyfunction("""COMPUTED_VALUE"""),4)</f>
        <v>4</v>
      </c>
      <c r="D90" s="0" t="str">
        <f aca="false">IFERROR(__xludf.dummyfunction("""COMPUTED_VALUE"""),"AICI202102-3-3| Realizar capacitación al personal de auditoría en el manejo del archivo con base en los criterios establecidos por gestión documental. (01/07/2021 - 30/07/2021)")</f>
        <v>AICI202102-3-3| Realizar capacitación al personal de auditoría en el manejo del archivo con base en los criterios establecidos por gestión documental. (01/07/2021 - 30/07/2021)</v>
      </c>
      <c r="E90" s="0" t="str">
        <f aca="false">IFERROR(__xludf.dummyfunction("""COMPUTED_VALUE"""),"Se realizó capacitación  al grupo de calidad con la participación del grupo de auditoria. Se anexa acta ")</f>
        <v>Se realizó capacitación  al grupo de calidad con la participación del grupo de auditoria. Se anexa acta </v>
      </c>
      <c r="F90" s="0" t="str">
        <f aca="false">IFERROR(__xludf.dummyfunction("""COMPUTED_VALUE"""),"Completo")</f>
        <v>Completo</v>
      </c>
      <c r="G90" s="0" t="str">
        <f aca="false">IFERROR(__xludf.dummyfunction("""COMPUTED_VALUE"""),"Sí")</f>
        <v>Sí</v>
      </c>
    </row>
    <row r="91" customFormat="false" ht="14.25" hidden="false" customHeight="false" outlineLevel="0" collapsed="false">
      <c r="A91" s="18" t="str">
        <f aca="false">IFERROR(MID(D91,1,FIND("|",D91)-1)&amp;"-"&amp;C91,"")</f>
        <v>AICI202102-4-1-4</v>
      </c>
      <c r="B91" s="19" t="n">
        <f aca="false">IFERROR(__xludf.dummyfunction("""COMPUTED_VALUE"""),44656)</f>
        <v>44656</v>
      </c>
      <c r="C91" s="0" t="n">
        <f aca="false">IFERROR(__xludf.dummyfunction("""COMPUTED_VALUE"""),4)</f>
        <v>4</v>
      </c>
      <c r="D91" s="0" t="str">
        <f aca="false">IFERROR(__xludf.dummyfunction("""COMPUTED_VALUE"""),"AICI202102-4-1| Revisar, actualizar y normalizar la documentación que soporte las actividades del procedimiento de habilitación realizadas en la oficina de Calidad. (01/06/2021 - 31/08/2021)")</f>
        <v>AICI202102-4-1| Revisar, actualizar y normalizar la documentación que soporte las actividades del procedimiento de habilitación realizadas en la oficina de Calidad. (01/06/2021 - 31/08/2021)</v>
      </c>
      <c r="E91" s="0" t="str">
        <f aca="false">IFERROR(__xludf.dummyfunction("""COMPUTED_VALUE"""),"Se  presenta documento ES-GC-P-01-03 Gestión del Sistema Único de Habilitación actualizado, junto con los demás documentos que soportan las actividades del procedimiento de habilitación. Se evidencia formato ES-GC-F-110-02-Herramienta de verificación de c"&amp;"umplimiento de condiciones del sistema único de habilitación. esta documentación se encuentra en la intranet.")</f>
        <v>Se  presenta documento ES-GC-P-01-03 Gestión del Sistema Único de Habilitación actualizado, junto con los demás documentos que soportan las actividades del procedimiento de habilitación. Se evidencia formato ES-GC-F-110-02-Herramienta de verificación de cumplimiento de condiciones del sistema único de habilitación. esta documentación se encuentra en la intranet.</v>
      </c>
      <c r="F91" s="0" t="str">
        <f aca="false">IFERROR(__xludf.dummyfunction("""COMPUTED_VALUE"""),"Completo")</f>
        <v>Completo</v>
      </c>
      <c r="G91" s="0" t="str">
        <f aca="false">IFERROR(__xludf.dummyfunction("""COMPUTED_VALUE"""),"Sí")</f>
        <v>Sí</v>
      </c>
    </row>
    <row r="92" customFormat="false" ht="14.25" hidden="false" customHeight="false" outlineLevel="0" collapsed="false">
      <c r="A92" s="18" t="str">
        <f aca="false">IFERROR(MID(D92,1,FIND("|",D92)-1)&amp;"-"&amp;C92,"")</f>
        <v>AICI202102-9-2-4</v>
      </c>
      <c r="B92" s="19" t="n">
        <f aca="false">IFERROR(__xludf.dummyfunction("""COMPUTED_VALUE"""),44656)</f>
        <v>44656</v>
      </c>
      <c r="C92" s="0" t="n">
        <f aca="false">IFERROR(__xludf.dummyfunction("""COMPUTED_VALUE"""),4)</f>
        <v>4</v>
      </c>
      <c r="D92" s="0" t="str">
        <f aca="false">IFERROR(__xludf.dummyfunction("""COMPUTED_VALUE"""),"AICI202102-9-2| Realizar mesa de trabajo con las áreas involucradas (Subgerencia de prestación de servicios, Imagenología, Ingeniería Biomédica, Infraestructura) para socializar el documento generado con sus lineamientos y asignación de responsabilidades "&amp;"a Subgerencia de Prestación de Servicios, Ingeniería Biomédica, Imagenología, Infraestructura y Calidad dentro de la gestión para la expedición de las licencias de equipos generadores de radiaciones ionizantes. (01/08/2021 - 31/08/2021)")</f>
        <v>AICI202102-9-2| Realizar mesa de trabajo con las áreas involucradas (Subgerencia de prestación de servicios, Imagenología, Ingeniería Biomédica, Infraestructura) para socializar el documento generado con sus lineamientos y asignación de responsabilidades a Subgerencia de Prestación de Servicios, Ingeniería Biomédica, Imagenología, Infraestructura y Calidad dentro de la gestión para la expedición de las licencias de equipos generadores de radiaciones ionizantes. (01/08/2021 - 31/08/2021)</v>
      </c>
      <c r="E92" s="0" t="str">
        <f aca="false">IFERROR(__xludf.dummyfunction("""COMPUTED_VALUE"""),"se envía copia de correo socializando instructivo INSTRUCTIVO LICENCIAS DE PRÁCTICA MÉDICA EQUIPOS GENERADORES DE
RADIACIÓN IONIZANTE CÓDIGO: ES-GC-I-36-01 del 26 de noviembre de 2022 a Medicina Preventiva SST Subred Norte 
&lt;seguridadysalud@subrednorte.go"&amp;"v.co&gt;, Talento Humano 9, Jorge Tibocha
&lt;talentohumano9@subrednorte.gov.co&gt;, dirtalentohumano &lt;dirtalentohumano@subrednorte.gov.co&gt;. se informa que se va a citar a mesa de trabajo para resolver dudas sobre la aplicación del instructivo.  No se aprecian sop"&amp;"ortes de la mesa de trabajo mencionada en la acción y en el correo. es garantizar la efectividad de la articulación entre áreas para el cumplimiento de la gestión de licenciamiento de equipos.")</f>
        <v>se envía copia de correo socializando instructivo INSTRUCTIVO LICENCIAS DE PRÁCTICA MÉDICA EQUIPOS GENERADORES DE
RADIACIÓN IONIZANTE CÓDIGO: ES-GC-I-36-01 del 26 de noviembre de 2022 a Medicina Preventiva SST Subred Norte 
&lt;seguridadysalud@subrednorte.gov.co&gt;, Talento Humano 9, Jorge Tibocha
&lt;talentohumano9@subrednorte.gov.co&gt;, dirtalentohumano &lt;dirtalentohumano@subrednorte.gov.co&gt;. se informa que se va a citar a mesa de trabajo para resolver dudas sobre la aplicación del instructivo.  No se aprecian soportes de la mesa de trabajo mencionada en la acción y en el correo. es garantizar la efectividad de la articulación entre áreas para el cumplimiento de la gestión de licenciamiento de equipos.</v>
      </c>
      <c r="F92" s="0" t="str">
        <f aca="false">IFERROR(__xludf.dummyfunction("""COMPUTED_VALUE"""),"Atrasado")</f>
        <v>Atrasado</v>
      </c>
    </row>
    <row r="93" customFormat="false" ht="14.25" hidden="false" customHeight="false" outlineLevel="0" collapsed="false">
      <c r="A93" s="18" t="str">
        <f aca="false">IFERROR(MID(D93,1,FIND("|",D93)-1)&amp;"-"&amp;C93,"")</f>
        <v>AICI202102-3-4-4</v>
      </c>
      <c r="B93" s="19" t="n">
        <f aca="false">IFERROR(__xludf.dummyfunction("""COMPUTED_VALUE"""),44657)</f>
        <v>44657</v>
      </c>
      <c r="C93" s="0" t="n">
        <f aca="false">IFERROR(__xludf.dummyfunction("""COMPUTED_VALUE"""),4)</f>
        <v>4</v>
      </c>
      <c r="D93" s="0" t="str">
        <f aca="false">IFERROR(__xludf.dummyfunction("""COMPUTED_VALUE"""),"AICI202102-3-4| Realizar seguimiento a la implementación y cumplimiento de los los criterios de gestión documental para conservación de la información. (01/08/2021 - 31/12/2021)")</f>
        <v>AICI202102-3-4| Realizar seguimiento a la implementación y cumplimiento de los los criterios de gestión documental para conservación de la información. (01/08/2021 - 31/12/2021)</v>
      </c>
      <c r="E93" s="0" t="str">
        <f aca="false">IFERROR(__xludf.dummyfunction("""COMPUTED_VALUE"""),"Se anexa formato de seguimiento al control documental y el informe en el cual se evidencia que el área de Calidad cumple en un 100% en el manejo del archivo ubicado en las instalaciones de Usaquén. Al solicitar los soportes del archivo documental de los c"&amp;"asos de gestión documental se observa que los mismos se encuentran archivados en una carpeta que contiene comunicaciones enviadas y expedientes la carpeta no relaciona serie ni subserie y no se ajusta a las tablas de retención documental, no se evidencian"&amp;" los casos cerrados de 2022, hay algunos de 2021 y casi todo es de 2020. las hojas no están foliadas. para hacer el cierre de la acción es necesario cumplir con los criterios de archivo de gestión documental.")</f>
        <v>Se anexa formato de seguimiento al control documental y el informe en el cual se evidencia que el área de Calidad cumple en un 100% en el manejo del archivo ubicado en las instalaciones de Usaquén. Al solicitar los soportes del archivo documental de los casos de gestión documental se observa que los mismos se encuentran archivados en una carpeta que contiene comunicaciones enviadas y expedientes la carpeta no relaciona serie ni subserie y no se ajusta a las tablas de retención documental, no se evidencian los casos cerrados de 2022, hay algunos de 2021 y casi todo es de 2020. las hojas no están foliadas. para hacer el cierre de la acción es necesario cumplir con los criterios de archivo de gestión documental.</v>
      </c>
      <c r="F93" s="0" t="str">
        <f aca="false">IFERROR(__xludf.dummyfunction("""COMPUTED_VALUE"""),"Atrasado")</f>
        <v>Atrasado</v>
      </c>
    </row>
    <row r="94" customFormat="false" ht="14.25" hidden="false" customHeight="false" outlineLevel="0" collapsed="false">
      <c r="A94" s="18" t="str">
        <f aca="false">IFERROR(MID(D94,1,FIND("|",D94)-1)&amp;"-"&amp;C94,"")</f>
        <v>AICI202102-5-2-4</v>
      </c>
      <c r="B94" s="19" t="n">
        <f aca="false">IFERROR(__xludf.dummyfunction("""COMPUTED_VALUE"""),44657)</f>
        <v>44657</v>
      </c>
      <c r="C94" s="0" t="n">
        <f aca="false">IFERROR(__xludf.dummyfunction("""COMPUTED_VALUE"""),4)</f>
        <v>4</v>
      </c>
      <c r="D94" s="0" t="str">
        <f aca="false">IFERROR(__xludf.dummyfunction("""COMPUTED_VALUE"""),"AICI202102-5-2| Documentar, socializar e implementar el mecanismo definido. (01/08/2021 - 28/02/2022)")</f>
        <v>AICI202102-5-2| Documentar, socializar e implementar el mecanismo definido. (01/08/2021 - 28/02/2022)</v>
      </c>
      <c r="E94" s="0" t="str">
        <f aca="false">IFERROR(__xludf.dummyfunction("""COMPUTED_VALUE"""),"Se evidencia acta de reunión entre los profesionales de auditoría concurrente en la cual se definen los mecanismos de articulación de los hallazgos de auditoría y los planes de mejora  reunión realizada en febrero de 2022.  se anexa soporte. Durante los s"&amp;"eguimientos y auditorías realizadas en el último mes se pudo observar que los hallazgos de las auditorías de paciente trazador y algunas auditorias de guiás de manejo no están incorporando en los planes de mejora por lo cual no se está realizando adecuada"&amp;" implementación de lo definido. ")</f>
        <v>Se evidencia acta de reunión entre los profesionales de auditoría concurrente en la cual se definen los mecanismos de articulación de los hallazgos de auditoría y los planes de mejora  reunión realizada en febrero de 2022.  se anexa soporte. Durante los seguimientos y auditorías realizadas en el último mes se pudo observar que los hallazgos de las auditorías de paciente trazador y algunas auditorias de guiás de manejo no están incorporando en los planes de mejora por lo cual no se está realizando adecuada implementación de lo definido. </v>
      </c>
      <c r="F94" s="0" t="str">
        <f aca="false">IFERROR(__xludf.dummyfunction("""COMPUTED_VALUE"""),"Atrasado")</f>
        <v>Atrasado</v>
      </c>
    </row>
    <row r="95" customFormat="false" ht="14.25" hidden="false" customHeight="false" outlineLevel="0" collapsed="false">
      <c r="A95" s="18" t="str">
        <f aca="false">IFERROR(MID(D95,1,FIND("|",D95)-1)&amp;"-"&amp;C95,"")</f>
        <v>AICI202102-5-3-4</v>
      </c>
      <c r="B95" s="19" t="n">
        <f aca="false">IFERROR(__xludf.dummyfunction("""COMPUTED_VALUE"""),44657)</f>
        <v>44657</v>
      </c>
      <c r="C95" s="0" t="n">
        <f aca="false">IFERROR(__xludf.dummyfunction("""COMPUTED_VALUE"""),4)</f>
        <v>4</v>
      </c>
      <c r="D95" s="0" t="str">
        <f aca="false">IFERROR(__xludf.dummyfunction("""COMPUTED_VALUE"""),"AICI202102-5-3| Actualizar el informe de auditoría concurrente a la atención COVID con datos de 2021 y generar el plan de mejora. (01/06/2021 - 31/07/2021)")</f>
        <v>AICI202102-5-3| Actualizar el informe de auditoría concurrente a la atención COVID con datos de 2021 y generar el plan de mejora. (01/06/2021 - 31/07/2021)</v>
      </c>
      <c r="E95" s="0" t="str">
        <f aca="false">IFERROR(__xludf.dummyfunction("""COMPUTED_VALUE"""),"Se envío un formato de plan de mejora en el cual se describen los hallazgos de la auditoría COVID 2021, no hay análisis causal, no se han formulado acciones de mejora, por lo tanto no se cumple con la acción.")</f>
        <v>Se envío un formato de plan de mejora en el cual se describen los hallazgos de la auditoría COVID 2021, no hay análisis causal, no se han formulado acciones de mejora, por lo tanto no se cumple con la acción.</v>
      </c>
      <c r="F95" s="0" t="str">
        <f aca="false">IFERROR(__xludf.dummyfunction("""COMPUTED_VALUE"""),"Atrasado")</f>
        <v>Atrasado</v>
      </c>
    </row>
    <row r="96" customFormat="false" ht="14.25" hidden="false" customHeight="false" outlineLevel="0" collapsed="false">
      <c r="A96" s="18" t="str">
        <f aca="false">IFERROR(MID(D96,1,FIND("|",D96)-1)&amp;"-"&amp;C96,"")</f>
        <v>AICI202102-8-1-4</v>
      </c>
      <c r="B96" s="19" t="n">
        <f aca="false">IFERROR(__xludf.dummyfunction("""COMPUTED_VALUE"""),44657)</f>
        <v>44657</v>
      </c>
      <c r="C96" s="0" t="n">
        <f aca="false">IFERROR(__xludf.dummyfunction("""COMPUTED_VALUE"""),4)</f>
        <v>4</v>
      </c>
      <c r="D96" s="0" t="str">
        <f aca="false">IFERROR(__xludf.dummyfunction("""COMPUTED_VALUE"""),"AICI202102-8-1| Validar la adecuación de la matriz existente para facilitar y garantizar el registro, monitoreo y control del cumplimiento de los requisitos de habilitación según Res. 3100 de 2019 y hacer los ajustes necesarios e implementarlos. (01/06/20"&amp;"21 - 31/08/2021)")</f>
        <v>AICI202102-8-1| Validar la adecuación de la matriz existente para facilitar y garantizar el registro, monitoreo y control del cumplimiento de los requisitos de habilitación según Res. 3100 de 2019 y hacer los ajustes necesarios e implementarlos. (01/06/2021 - 31/08/2021)</v>
      </c>
      <c r="E96" s="0" t="str">
        <f aca="false">IFERROR(__xludf.dummyfunction("""COMPUTED_VALUE"""),"Se presentó formato ES-GC-F-13-04 solicitud novedades SUH y formato ES-GC-F-110-02 herramienta de verificación de cumplimiento de condiciones del sistema - instructivo ES-GC-I-01-07 solicitud novedades SUH. Se envío también un  FORMATO DE SEGUIMIENTO AL P"&amp;"LAN DE INTERVENCIÓN A PARTIR DE LA AUTOEVALUACIÓN DE CONDICIONES DEL SISTEMA ÚNICO DE HABILITACIÓN RESOLUCIÓN 3100 DE 2019 ESTANDARES TRANSVERSALES  el cual se encuentra en prueba desde el año pasado, este formato tiene el último seguimiento en enero de 2"&amp;"022 y no se evidencia seguimiento a la totalidad de los criterios definidos, algunas de las acciones no se han terminado a pesar de que el periodo de las acciones iba hasta diciembre de 2021.  
Los formatos enviados no dan respuesta a la necesidad de cont"&amp;"rolar de manera el estado actual del cumplimiento de los requisitos de habilitación  de todos los estándares y todos los servicios de todas las sedes.  Adicional a lo anterior durante los seguimientos y auditorías realizados en el último vez, se hizo evid"&amp;"ente que no se cuenta con un registro o control actualizado del cumplimiento del estándar de talento humano y los procesos prioritarios asistenciales para los servicios, por lo cual los soportes presentados no son suficientes para subsanar el hallazgo 
")</f>
        <v>Se presentó formato ES-GC-F-13-04 solicitud novedades SUH y formato ES-GC-F-110-02 herramienta de verificación de cumplimiento de condiciones del sistema - instructivo ES-GC-I-01-07 solicitud novedades SUH. Se envío también un  FORMATO DE SEGUIMIENTO AL PLAN DE INTERVENCIÓN A PARTIR DE LA AUTOEVALUACIÓN DE CONDICIONES DEL SISTEMA ÚNICO DE HABILITACIÓN RESOLUCIÓN 3100 DE 2019 ESTANDARES TRANSVERSALES  el cual se encuentra en prueba desde el año pasado, este formato tiene el último seguimiento en enero de 2022 y no se evidencia seguimiento a la totalidad de los criterios definidos, algunas de las acciones no se han terminado a pesar de que el periodo de las acciones iba hasta diciembre de 2021.  
Los formatos enviados no dan respuesta a la necesidad de controlar de manera el estado actual del cumplimiento de los requisitos de habilitación  de todos los estándares y todos los servicios de todas las sedes.  Adicional a lo anterior durante los seguimientos y auditorías realizados en el último vez, se hizo evidente que no se cuenta con un registro o control actualizado del cumplimiento del estándar de talento humano y los procesos prioritarios asistenciales para los servicios, por lo cual los soportes presentados no son suficientes para subsanar el hallazgo 
</v>
      </c>
      <c r="F96" s="0" t="str">
        <f aca="false">IFERROR(__xludf.dummyfunction("""COMPUTED_VALUE"""),"Atrasado")</f>
        <v>Atrasado</v>
      </c>
    </row>
    <row r="97" customFormat="false" ht="14.25" hidden="false" customHeight="false" outlineLevel="0" collapsed="false">
      <c r="A97" s="18" t="str">
        <f aca="false">IFERROR(MID(D97,1,FIND("|",D97)-1)&amp;"-"&amp;C97,"")</f>
        <v>AICI202102-11-2-4</v>
      </c>
      <c r="B97" s="19" t="n">
        <f aca="false">IFERROR(__xludf.dummyfunction("""COMPUTED_VALUE"""),44657)</f>
        <v>44657</v>
      </c>
      <c r="C97" s="0" t="n">
        <f aca="false">IFERROR(__xludf.dummyfunction("""COMPUTED_VALUE"""),4)</f>
        <v>4</v>
      </c>
      <c r="D97" s="0" t="str">
        <f aca="false">IFERROR(__xludf.dummyfunction("""COMPUTED_VALUE"""),"AICI202102-11-2| Realizar capacitación al personal de habilitación en el manejo del archivo con base en los criterios establecidos por gestión documental. (01/07/2021 - 30/07/2021)")</f>
        <v>AICI202102-11-2| Realizar capacitación al personal de habilitación en el manejo del archivo con base en los criterios establecidos por gestión documental. (01/07/2021 - 30/07/2021)</v>
      </c>
      <c r="E97" s="0" t="str">
        <f aca="false">IFERROR(__xludf.dummyfunction("""COMPUTED_VALUE"""),"Se realizó capacitación  al grupo de calidad con la participacion del grupo de habilitación. Se anexa acta ")</f>
        <v>Se realizó capacitación  al grupo de calidad con la participacion del grupo de habilitación. Se anexa acta </v>
      </c>
      <c r="F97" s="0" t="str">
        <f aca="false">IFERROR(__xludf.dummyfunction("""COMPUTED_VALUE"""),"Completo")</f>
        <v>Completo</v>
      </c>
      <c r="G97" s="0" t="str">
        <f aca="false">IFERROR(__xludf.dummyfunction("""COMPUTED_VALUE"""),"Sí")</f>
        <v>Sí</v>
      </c>
    </row>
    <row r="98" customFormat="false" ht="14.25" hidden="false" customHeight="false" outlineLevel="0" collapsed="false">
      <c r="A98" s="18" t="str">
        <f aca="false">IFERROR(MID(D98,1,FIND("|",D98)-1)&amp;"-"&amp;C98,"")</f>
        <v>AICI202102-12-2-4</v>
      </c>
      <c r="B98" s="19" t="n">
        <f aca="false">IFERROR(__xludf.dummyfunction("""COMPUTED_VALUE"""),44657)</f>
        <v>44657</v>
      </c>
      <c r="C98" s="0" t="n">
        <f aca="false">IFERROR(__xludf.dummyfunction("""COMPUTED_VALUE"""),4)</f>
        <v>4</v>
      </c>
      <c r="D98" s="0" t="str">
        <f aca="false">IFERROR(__xludf.dummyfunction("""COMPUTED_VALUE"""),"AICI202102-12-2| Medir la participación de los colaboradores en los equipos de autoevaluación para la formulaciòn de acciones de mejora y retroalimentar a los directivos y líderes de los grupos de estándares el resultado de la evaluación. (01/09/2021 - 31"&amp;"/01/2022)")</f>
        <v>AICI202102-12-2| Medir la participación de los colaboradores en los equipos de autoevaluación para la formulaciòn de acciones de mejora y retroalimentar a los directivos y líderes de los grupos de estándares el resultado de la evaluación. (01/09/2021 - 31/01/2022)</v>
      </c>
      <c r="E98" s="0" t="str">
        <f aca="false">IFERROR(__xludf.dummyfunction("""COMPUTED_VALUE"""),"Se informa que ""Se encuentra en proceso, esta pendiente la autoevaluación de los estándares de gerencia del talento humano, direccionamiento, gerencia y mejoramiento de la calidad"" no se envías otros soportes, por lo tanto no se puede cerrar acción.")</f>
        <v>Se informa que "Se encuentra en proceso, esta pendiente la autoevaluación de los estándares de gerencia del talento humano, direccionamiento, gerencia y mejoramiento de la calidad" no se envías otros soportes, por lo tanto no se puede cerrar acción.</v>
      </c>
      <c r="F98" s="0" t="str">
        <f aca="false">IFERROR(__xludf.dummyfunction("""COMPUTED_VALUE"""),"Atrasado")</f>
        <v>Atrasado</v>
      </c>
    </row>
    <row r="99" customFormat="false" ht="14.25" hidden="false" customHeight="false" outlineLevel="0" collapsed="false">
      <c r="A99" s="18" t="str">
        <f aca="false">IFERROR(MID(D99,1,FIND("|",D99)-1)&amp;"-"&amp;C99,"")</f>
        <v>AICI202102-13-2-4</v>
      </c>
      <c r="B99" s="19" t="n">
        <f aca="false">IFERROR(__xludf.dummyfunction("""COMPUTED_VALUE"""),44657)</f>
        <v>44657</v>
      </c>
      <c r="C99" s="0" t="n">
        <f aca="false">IFERROR(__xludf.dummyfunction("""COMPUTED_VALUE"""),4)</f>
        <v>4</v>
      </c>
      <c r="D99" s="0" t="str">
        <f aca="false">IFERROR(__xludf.dummyfunction("""COMPUTED_VALUE"""),"AICI202102-13-2| Evaluar la entrega y calidad de las actas de los equipos primarios de mejoramiento para la toma de acciones de mejora y retroalimentar a los directivos y líderes de los grupos de estándare el resultado de la evaluación. (01/09/2021 - 31/0"&amp;"1/2022)")</f>
        <v>AICI202102-13-2| Evaluar la entrega y calidad de las actas de los equipos primarios de mejoramiento para la toma de acciones de mejora y retroalimentar a los directivos y líderes de los grupos de estándare el resultado de la evaluación. (01/09/2021 - 31/01/2022)</v>
      </c>
      <c r="E99" s="0" t="str">
        <f aca="false">IFERROR(__xludf.dummyfunction("""COMPUTED_VALUE"""),"Se informa que ""Una vez terminada la autoevaluación se formularan los planes de mejora por cada grupo de estándares los cuales serán entregados a los equipos de mejoramiento para iniciar las reuniones mensuales de seguimiento y avances de los mismos"". N"&amp;"o se entregan otros soportes. dado que la acción se programó hasta enero de 2022 se encuentra atrasada.")</f>
        <v>Se informa que "Una vez terminada la autoevaluación se formularan los planes de mejora por cada grupo de estándares los cuales serán entregados a los equipos de mejoramiento para iniciar las reuniones mensuales de seguimiento y avances de los mismos". No se entregan otros soportes. dado que la acción se programó hasta enero de 2022 se encuentra atrasada.</v>
      </c>
      <c r="F99" s="0" t="str">
        <f aca="false">IFERROR(__xludf.dummyfunction("""COMPUTED_VALUE"""),"Atrasado")</f>
        <v>Atrasado</v>
      </c>
    </row>
    <row r="100" customFormat="false" ht="14.25" hidden="false" customHeight="false" outlineLevel="0" collapsed="false">
      <c r="A100" s="18" t="str">
        <f aca="false">IFERROR(MID(D100,1,FIND("|",D100)-1)&amp;"-"&amp;C100,"")</f>
        <v>AICI202102-10-2-4</v>
      </c>
      <c r="B100" s="19" t="n">
        <f aca="false">IFERROR(__xludf.dummyfunction("""COMPUTED_VALUE"""),44658)</f>
        <v>44658</v>
      </c>
      <c r="C100" s="0" t="n">
        <f aca="false">IFERROR(__xludf.dummyfunction("""COMPUTED_VALUE"""),4)</f>
        <v>4</v>
      </c>
      <c r="D100" s="0" t="str">
        <f aca="false">IFERROR(__xludf.dummyfunction("""COMPUTED_VALUE"""),"AICI202102-10-2| Elaborar circular informativa para que los servicios y/o procesos remitan las actas de visitas o auditorías hechas por los entes de control a la oficina de Calidad para establecer plan de intervención o mejora, hacer seguimiento y estruct"&amp;"urar matriz y base documental de visitas de entes que generen investigaciones administrativas. (01/06/2021 - 31/08/2021)")</f>
        <v>AICI202102-10-2| Elaborar circular informativa para que los servicios y/o procesos remitan las actas de visitas o auditorías hechas por los entes de control a la oficina de Calidad para establecer plan de intervención o mejora, hacer seguimiento y estructurar matriz y base documental de visitas de entes que generen investigaciones administrativas. (01/06/2021 - 31/08/2021)</v>
      </c>
      <c r="E100" s="0" t="str">
        <f aca="false">IFERROR(__xludf.dummyfunction("""COMPUTED_VALUE"""),"Se evidencia comunicación enviada a las diferentes áreas misionales y administrativas en las cuales se solicita el envío a calidad de las actas de visita de los diferentes entes de control con el fin de implementar las acciones de mejora a las que haya lu"&amp;"gar. Se verifican soportes de envío de actas de visita de la SDS y requerimiento de plan de mejora derivado de la misma.")</f>
        <v>Se evidencia comunicación enviada a las diferentes áreas misionales y administrativas en las cuales se solicita el envío a calidad de las actas de visita de los diferentes entes de control con el fin de implementar las acciones de mejora a las que haya lugar. Se verifican soportes de envío de actas de visita de la SDS y requerimiento de plan de mejora derivado de la misma.</v>
      </c>
      <c r="F100" s="0" t="str">
        <f aca="false">IFERROR(__xludf.dummyfunction("""COMPUTED_VALUE"""),"Completo")</f>
        <v>Completo</v>
      </c>
      <c r="G100" s="0" t="str">
        <f aca="false">IFERROR(__xludf.dummyfunction("""COMPUTED_VALUE"""),"Sí")</f>
        <v>Sí</v>
      </c>
    </row>
    <row r="101" customFormat="false" ht="14.25" hidden="false" customHeight="false" outlineLevel="0" collapsed="false">
      <c r="A101" s="18" t="str">
        <f aca="false">IFERROR(MID(D101,1,FIND("|",D101)-1)&amp;"-"&amp;C101,"")</f>
        <v>AICI202102-11-3-4</v>
      </c>
      <c r="B101" s="19" t="n">
        <f aca="false">IFERROR(__xludf.dummyfunction("""COMPUTED_VALUE"""),44658)</f>
        <v>44658</v>
      </c>
      <c r="C101" s="0" t="n">
        <f aca="false">IFERROR(__xludf.dummyfunction("""COMPUTED_VALUE"""),4)</f>
        <v>4</v>
      </c>
      <c r="D101" s="0" t="str">
        <f aca="false">IFERROR(__xludf.dummyfunction("""COMPUTED_VALUE"""),"AICI202102-11-3| Realizar seguimiento a la implementación y cumplimiento de los los criterios de gestión documental para conservación de la información. (01/08/2021 - 31/12/2021)")</f>
        <v>AICI202102-11-3| Realizar seguimiento a la implementación y cumplimiento de los los criterios de gestión documental para conservación de la información. (01/08/2021 - 31/12/2021)</v>
      </c>
      <c r="E101" s="0" t="str">
        <f aca="false">IFERROR(__xludf.dummyfunction("""COMPUTED_VALUE"""),"Se envía soporte de inventario documental revisado en Usaquén pero no se evidencian soportes del tema de habilitación, se solicitan los mismos a la gestora Andrea Ángel pero estos no son allegados,")</f>
        <v>Se envía soporte de inventario documental revisado en Usaquén pero no se evidencian soportes del tema de habilitación, se solicitan los mismos a la gestora Andrea Ángel pero estos no son allegados,</v>
      </c>
      <c r="F101" s="0" t="str">
        <f aca="false">IFERROR(__xludf.dummyfunction("""COMPUTED_VALUE"""),"Atrasado")</f>
        <v>Atrasado</v>
      </c>
    </row>
    <row r="102" customFormat="false" ht="14.25" hidden="false" customHeight="false" outlineLevel="0" collapsed="false">
      <c r="A102" s="18" t="str">
        <f aca="false">IFERROR(MID(D102,1,FIND("|",D102)-1)&amp;"-"&amp;C102,"")</f>
        <v>AICI202102-1-1-5</v>
      </c>
      <c r="B102" s="19" t="n">
        <f aca="false">IFERROR(__xludf.dummyfunction("""COMPUTED_VALUE"""),44748)</f>
        <v>44748</v>
      </c>
      <c r="C102" s="0" t="n">
        <f aca="false">IFERROR(__xludf.dummyfunction("""COMPUTED_VALUE"""),5)</f>
        <v>5</v>
      </c>
      <c r="D102" s="0" t="str">
        <f aca="false">IFERROR(__xludf.dummyfunction("""COMPUTED_VALUE"""),"AICI202102-1-1| Revisar, actualizar y normalizar la documentación que soporte las actividades y los procedimientos realizados en la oficina de Calidad alineados con la actualización de procesos realizada (08/11/2021 - 31/03/2022)")</f>
        <v>AICI202102-1-1| Revisar, actualizar y normalizar la documentación que soporte las actividades y los procedimientos realizados en la oficina de Calidad alineados con la actualización de procesos realizada (08/11/2021 - 31/03/2022)</v>
      </c>
      <c r="E102" s="0" t="str">
        <f aca="false">IFERROR(__xludf.dummyfunction("""COMPUTED_VALUE"""),"Se actualizan los siguientes documentos: instructivo de solicitud novedades de habilitación versión 9, auditoría para el mejoramiento de la calidad versión 4,se actualiza el procedimiento,gestión del sistema unico de Habilitación el cual queda en versión "&amp;"3.")</f>
        <v>Se actualizan los siguientes documentos: instructivo de solicitud novedades de habilitación versión 9, auditoría para el mejoramiento de la calidad versión 4,se actualiza el procedimiento,gestión del sistema unico de Habilitación el cual queda en versión 3.</v>
      </c>
      <c r="F102" s="0" t="str">
        <f aca="false">IFERROR(__xludf.dummyfunction("""COMPUTED_VALUE"""),"Completo")</f>
        <v>Completo</v>
      </c>
      <c r="G102" s="0" t="str">
        <f aca="false">IFERROR(__xludf.dummyfunction("""COMPUTED_VALUE"""),"Sí")</f>
        <v>Sí</v>
      </c>
    </row>
    <row r="103" customFormat="false" ht="14.25" hidden="false" customHeight="false" outlineLevel="0" collapsed="false">
      <c r="A103" s="18" t="str">
        <f aca="false">IFERROR(MID(D103,1,FIND("|",D103)-1)&amp;"-"&amp;C103,"")</f>
        <v>AICI202102-3-4-5</v>
      </c>
      <c r="B103" s="19" t="n">
        <f aca="false">IFERROR(__xludf.dummyfunction("""COMPUTED_VALUE"""),44748)</f>
        <v>44748</v>
      </c>
      <c r="C103" s="0" t="n">
        <f aca="false">IFERROR(__xludf.dummyfunction("""COMPUTED_VALUE"""),5)</f>
        <v>5</v>
      </c>
      <c r="D103" s="0" t="str">
        <f aca="false">IFERROR(__xludf.dummyfunction("""COMPUTED_VALUE"""),"AICI202102-3-4| Realizar seguimiento a la implementación y cumplimiento de los los criterios de gestión documental para conservación de la información. (01/08/2021 - 31/12/2021)")</f>
        <v>AICI202102-3-4| Realizar seguimiento a la implementación y cumplimiento de los los criterios de gestión documental para conservación de la información. (01/08/2021 - 31/12/2021)</v>
      </c>
      <c r="E103" s="0" t="str">
        <f aca="false">IFERROR(__xludf.dummyfunction("""COMPUTED_VALUE"""),"Se observan formatos hoja de control de expediente diligenciada de forma completa, con el número de serie,nombre de la subserie,numeros de folios y fecha.")</f>
        <v>Se observan formatos hoja de control de expediente diligenciada de forma completa, con el número de serie,nombre de la subserie,numeros de folios y fecha.</v>
      </c>
      <c r="F103" s="0" t="str">
        <f aca="false">IFERROR(__xludf.dummyfunction("""COMPUTED_VALUE"""),"Completo")</f>
        <v>Completo</v>
      </c>
      <c r="G103" s="0" t="str">
        <f aca="false">IFERROR(__xludf.dummyfunction("""COMPUTED_VALUE"""),"Sí")</f>
        <v>Sí</v>
      </c>
    </row>
    <row r="104" customFormat="false" ht="14.25" hidden="false" customHeight="false" outlineLevel="0" collapsed="false">
      <c r="A104" s="18" t="str">
        <f aca="false">IFERROR(MID(D104,1,FIND("|",D104)-1)&amp;"-"&amp;C104,"")</f>
        <v>AICI202102-5-2-5</v>
      </c>
      <c r="B104" s="19" t="n">
        <f aca="false">IFERROR(__xludf.dummyfunction("""COMPUTED_VALUE"""),44748)</f>
        <v>44748</v>
      </c>
      <c r="C104" s="0" t="n">
        <f aca="false">IFERROR(__xludf.dummyfunction("""COMPUTED_VALUE"""),5)</f>
        <v>5</v>
      </c>
      <c r="D104" s="0" t="str">
        <f aca="false">IFERROR(__xludf.dummyfunction("""COMPUTED_VALUE"""),"AICI202102-5-2| Documentar, socializar e implementar el mecanismo definido. (01/08/2021 - 28/02/2022)")</f>
        <v>AICI202102-5-2| Documentar, socializar e implementar el mecanismo definido. (01/08/2021 - 28/02/2022)</v>
      </c>
      <c r="E104" s="0" t="str">
        <f aca="false">IFERROR(__xludf.dummyfunction("""COMPUTED_VALUE"""),"Se anexa socialización  de Gestión documental con fecha de 2 febrero de 2022,no se evidencia plan de mejora de las auditorias realizadas de pte trazador y demás auditorias realizadas")</f>
        <v>Se anexa socialización  de Gestión documental con fecha de 2 febrero de 2022,no se evidencia plan de mejora de las auditorias realizadas de pte trazador y demás auditorias realizadas</v>
      </c>
      <c r="F104" s="0" t="str">
        <f aca="false">IFERROR(__xludf.dummyfunction("""COMPUTED_VALUE"""),"Atrasado")</f>
        <v>Atrasado</v>
      </c>
    </row>
    <row r="105" customFormat="false" ht="14.25" hidden="false" customHeight="false" outlineLevel="0" collapsed="false">
      <c r="A105" s="18" t="str">
        <f aca="false">IFERROR(MID(D105,1,FIND("|",D105)-1)&amp;"-"&amp;C105,"")</f>
        <v>AICI202102-5-3-5</v>
      </c>
      <c r="B105" s="19" t="n">
        <f aca="false">IFERROR(__xludf.dummyfunction("""COMPUTED_VALUE"""),44748)</f>
        <v>44748</v>
      </c>
      <c r="C105" s="0" t="n">
        <f aca="false">IFERROR(__xludf.dummyfunction("""COMPUTED_VALUE"""),5)</f>
        <v>5</v>
      </c>
      <c r="D105" s="0" t="str">
        <f aca="false">IFERROR(__xludf.dummyfunction("""COMPUTED_VALUE"""),"AICI202102-5-3| Actualizar el informe de auditoría concurrente a la atención COVID con datos de 2021 y generar el plan de mejora. (01/06/2021 - 31/07/2021)")</f>
        <v>AICI202102-5-3| Actualizar el informe de auditoría concurrente a la atención COVID con datos de 2021 y generar el plan de mejora. (01/06/2021 - 31/07/2021)</v>
      </c>
      <c r="E105" s="0" t="str">
        <f aca="false">IFERROR(__xludf.dummyfunction("""COMPUTED_VALUE"""),"Se anexa informe de Ucis Covid de enero a Diciembre de 2021,se encuentra plan de mejora sin formular,ni ejecutar")</f>
        <v>Se anexa informe de Ucis Covid de enero a Diciembre de 2021,se encuentra plan de mejora sin formular,ni ejecutar</v>
      </c>
      <c r="F105" s="0" t="str">
        <f aca="false">IFERROR(__xludf.dummyfunction("""COMPUTED_VALUE"""),"Atrasado")</f>
        <v>Atrasado</v>
      </c>
    </row>
    <row r="106" customFormat="false" ht="14.25" hidden="false" customHeight="false" outlineLevel="0" collapsed="false">
      <c r="A106" s="18" t="str">
        <f aca="false">IFERROR(MID(D106,1,FIND("|",D106)-1)&amp;"-"&amp;C106,"")</f>
        <v>AICI202102-8-1-5</v>
      </c>
      <c r="B106" s="19" t="n">
        <f aca="false">IFERROR(__xludf.dummyfunction("""COMPUTED_VALUE"""),44748)</f>
        <v>44748</v>
      </c>
      <c r="C106" s="0" t="n">
        <f aca="false">IFERROR(__xludf.dummyfunction("""COMPUTED_VALUE"""),5)</f>
        <v>5</v>
      </c>
      <c r="D106" s="0" t="str">
        <f aca="false">IFERROR(__xludf.dummyfunction("""COMPUTED_VALUE"""),"AICI202102-8-1| Validar la adecuación de la matriz existente para facilitar y garantizar el registro, monitoreo y control del cumplimiento de los requisitos de habilitación según Res. 3100 de 2019 y hacer los ajustes necesarios e implementarlos. (01/06/20"&amp;"21 - 31/08/2021)")</f>
        <v>AICI202102-8-1| Validar la adecuación de la matriz existente para facilitar y garantizar el registro, monitoreo y control del cumplimiento de los requisitos de habilitación según Res. 3100 de 2019 y hacer los ajustes necesarios e implementarlos. (01/06/2021 - 31/08/2021)</v>
      </c>
      <c r="E106" s="0" t="str">
        <f aca="false">IFERROR(__xludf.dummyfunction("""COMPUTED_VALUE"""),"Aportan soportes de evaluación de cada uno de los estandares de habilitación de la Sede Engativá solamente,No se evidencia matriz de seguimiento")</f>
        <v>Aportan soportes de evaluación de cada uno de los estandares de habilitación de la Sede Engativá solamente,No se evidencia matriz de seguimiento</v>
      </c>
      <c r="F106" s="0" t="str">
        <f aca="false">IFERROR(__xludf.dummyfunction("""COMPUTED_VALUE"""),"Atrasado")</f>
        <v>Atrasado</v>
      </c>
    </row>
    <row r="107" customFormat="false" ht="14.25" hidden="false" customHeight="false" outlineLevel="0" collapsed="false">
      <c r="A107" s="18" t="str">
        <f aca="false">IFERROR(MID(D107,1,FIND("|",D107)-1)&amp;"-"&amp;C107,"")</f>
        <v>AICI202102-9-2-5</v>
      </c>
      <c r="B107" s="19" t="n">
        <f aca="false">IFERROR(__xludf.dummyfunction("""COMPUTED_VALUE"""),44748)</f>
        <v>44748</v>
      </c>
      <c r="C107" s="0" t="n">
        <f aca="false">IFERROR(__xludf.dummyfunction("""COMPUTED_VALUE"""),5)</f>
        <v>5</v>
      </c>
      <c r="D107" s="0" t="str">
        <f aca="false">IFERROR(__xludf.dummyfunction("""COMPUTED_VALUE"""),"AICI202102-9-2| Realizar mesa de trabajo con las áreas involucradas (Subgerencia de prestación de servicios, Imagenología, Ingeniería Biomédica, Infraestructura) para socializar el documento generado con sus lineamientos y asignación de responsabilidades "&amp;"a Subgerencia de Prestación de Servicios, Ingeniería Biomédica, Imagenología, Infraestructura y Calidad dentro de la gestión para la expedición de las licencias de equipos generadores de radiaciones ionizantes. (01/08/2021 - 31/08/2021)")</f>
        <v>AICI202102-9-2| Realizar mesa de trabajo con las áreas involucradas (Subgerencia de prestación de servicios, Imagenología, Ingeniería Biomédica, Infraestructura) para socializar el documento generado con sus lineamientos y asignación de responsabilidades a Subgerencia de Prestación de Servicios, Ingeniería Biomédica, Imagenología, Infraestructura y Calidad dentro de la gestión para la expedición de las licencias de equipos generadores de radiaciones ionizantes. (01/08/2021 - 31/08/2021)</v>
      </c>
      <c r="E107" s="0" t="str">
        <f aca="false">IFERROR(__xludf.dummyfunction("""COMPUTED_VALUE"""),"Se anexan actas de mesa de trabajo,de los dias 19 y 31 de mayo de 2022")</f>
        <v>Se anexan actas de mesa de trabajo,de los dias 19 y 31 de mayo de 2022</v>
      </c>
      <c r="F107" s="0" t="str">
        <f aca="false">IFERROR(__xludf.dummyfunction("""COMPUTED_VALUE"""),"Completo")</f>
        <v>Completo</v>
      </c>
      <c r="G107" s="0" t="str">
        <f aca="false">IFERROR(__xludf.dummyfunction("""COMPUTED_VALUE"""),"Sí")</f>
        <v>Sí</v>
      </c>
    </row>
    <row r="108" customFormat="false" ht="14.25" hidden="false" customHeight="false" outlineLevel="0" collapsed="false">
      <c r="A108" s="18" t="str">
        <f aca="false">IFERROR(MID(D108,1,FIND("|",D108)-1)&amp;"-"&amp;C108,"")</f>
        <v>AICI202102-11-3-5</v>
      </c>
      <c r="B108" s="19" t="n">
        <f aca="false">IFERROR(__xludf.dummyfunction("""COMPUTED_VALUE"""),44748)</f>
        <v>44748</v>
      </c>
      <c r="C108" s="0" t="n">
        <f aca="false">IFERROR(__xludf.dummyfunction("""COMPUTED_VALUE"""),5)</f>
        <v>5</v>
      </c>
      <c r="D108" s="0" t="str">
        <f aca="false">IFERROR(__xludf.dummyfunction("""COMPUTED_VALUE"""),"AICI202102-11-3| Realizar seguimiento a la implementación y cumplimiento de los los criterios de gestión documental para conservación de la información. (01/08/2021 - 31/12/2021)")</f>
        <v>AICI202102-11-3| Realizar seguimiento a la implementación y cumplimiento de los los criterios de gestión documental para conservación de la información. (01/08/2021 - 31/12/2021)</v>
      </c>
      <c r="E108" s="0" t="str">
        <f aca="false">IFERROR(__xludf.dummyfunction("""COMPUTED_VALUE"""),"Se anexa seguimiento de registros a la hoja   de control de expedientes de años 2020,2021 y 2022,los cuales se encuentran de acuerdo a las normas de gestión documental")</f>
        <v>Se anexa seguimiento de registros a la hoja   de control de expedientes de años 2020,2021 y 2022,los cuales se encuentran de acuerdo a las normas de gestión documental</v>
      </c>
      <c r="F108" s="0" t="str">
        <f aca="false">IFERROR(__xludf.dummyfunction("""COMPUTED_VALUE"""),"Completo")</f>
        <v>Completo</v>
      </c>
      <c r="G108" s="0" t="str">
        <f aca="false">IFERROR(__xludf.dummyfunction("""COMPUTED_VALUE"""),"Sí")</f>
        <v>Sí</v>
      </c>
    </row>
    <row r="109" customFormat="false" ht="14.25" hidden="false" customHeight="false" outlineLevel="0" collapsed="false">
      <c r="A109" s="18" t="str">
        <f aca="false">IFERROR(MID(D109,1,FIND("|",D109)-1)&amp;"-"&amp;C109,"")</f>
        <v>AICI202102-12-2-5</v>
      </c>
      <c r="B109" s="19" t="n">
        <f aca="false">IFERROR(__xludf.dummyfunction("""COMPUTED_VALUE"""),44748)</f>
        <v>44748</v>
      </c>
      <c r="C109" s="0" t="n">
        <f aca="false">IFERROR(__xludf.dummyfunction("""COMPUTED_VALUE"""),5)</f>
        <v>5</v>
      </c>
      <c r="D109" s="0" t="str">
        <f aca="false">IFERROR(__xludf.dummyfunction("""COMPUTED_VALUE"""),"AICI202102-12-2| Medir la participación de los colaboradores en los equipos de autoevaluación para la formulaciòn de acciones de mejora y retroalimentar a los directivos y líderes de los grupos de estándares el resultado de la evaluación. (01/09/2021 - 31"&amp;"/01/2022)")</f>
        <v>AICI202102-12-2| Medir la participación de los colaboradores en los equipos de autoevaluación para la formulaciòn de acciones de mejora y retroalimentar a los directivos y líderes de los grupos de estándares el resultado de la evaluación. (01/09/2021 - 31/01/2022)</v>
      </c>
      <c r="E109" s="0" t="str">
        <f aca="false">IFERROR(__xludf.dummyfunction("""COMPUTED_VALUE"""),"se anexa tabla con porcentaje de participación en los equipos de autoevaluación")</f>
        <v>se anexa tabla con porcentaje de participación en los equipos de autoevaluación</v>
      </c>
      <c r="F109" s="0" t="str">
        <f aca="false">IFERROR(__xludf.dummyfunction("""COMPUTED_VALUE"""),"Completo")</f>
        <v>Completo</v>
      </c>
      <c r="G109" s="0" t="str">
        <f aca="false">IFERROR(__xludf.dummyfunction("""COMPUTED_VALUE"""),"Sí")</f>
        <v>Sí</v>
      </c>
    </row>
    <row r="110" customFormat="false" ht="14.25" hidden="false" customHeight="false" outlineLevel="0" collapsed="false">
      <c r="A110" s="18" t="str">
        <f aca="false">IFERROR(MID(D110,1,FIND("|",D110)-1)&amp;"-"&amp;C110,"")</f>
        <v>AICI202102-13-2-5</v>
      </c>
      <c r="B110" s="19" t="n">
        <f aca="false">IFERROR(__xludf.dummyfunction("""COMPUTED_VALUE"""),44748)</f>
        <v>44748</v>
      </c>
      <c r="C110" s="0" t="n">
        <f aca="false">IFERROR(__xludf.dummyfunction("""COMPUTED_VALUE"""),5)</f>
        <v>5</v>
      </c>
      <c r="D110" s="0" t="str">
        <f aca="false">IFERROR(__xludf.dummyfunction("""COMPUTED_VALUE"""),"AICI202102-13-2| Evaluar la entrega y calidad de las actas de los equipos primarios de mejoramiento para la toma de acciones de mejora y retroalimentar a los directivos y líderes de los grupos de estándare el resultado de la evaluación. (01/09/2021 - 31/0"&amp;"1/2022)")</f>
        <v>AICI202102-13-2| Evaluar la entrega y calidad de las actas de los equipos primarios de mejoramiento para la toma de acciones de mejora y retroalimentar a los directivos y líderes de los grupos de estándare el resultado de la evaluación. (01/09/2021 - 31/01/2022)</v>
      </c>
      <c r="E110" s="0" t="str">
        <f aca="false">IFERROR(__xludf.dummyfunction("""COMPUTED_VALUE"""),"No es posible evaluar la calidad de las actas,ya que no fueron enviadas,se anexa cronograma y presentación de equipos primarios,no hay evidencia de quienes recibieron la retroalimentación de la capacitación")</f>
        <v>No es posible evaluar la calidad de las actas,ya que no fueron enviadas,se anexa cronograma y presentación de equipos primarios,no hay evidencia de quienes recibieron la retroalimentación de la capacitación</v>
      </c>
      <c r="F110" s="0" t="str">
        <f aca="false">IFERROR(__xludf.dummyfunction("""COMPUTED_VALUE"""),"Atrasado")</f>
        <v>Atrasado</v>
      </c>
    </row>
    <row r="111" customFormat="false" ht="14.25" hidden="false" customHeight="false" outlineLevel="0" collapsed="false">
      <c r="A111" s="18" t="str">
        <f aca="false">IFERROR(MID(D111,1,FIND("|",D111)-1)&amp;"-"&amp;C111,"")</f>
        <v>AICI202102-5-2-6</v>
      </c>
      <c r="B111" s="19" t="n">
        <f aca="false">IFERROR(__xludf.dummyfunction("""COMPUTED_VALUE"""),44841)</f>
        <v>44841</v>
      </c>
      <c r="C111" s="0" t="n">
        <f aca="false">IFERROR(__xludf.dummyfunction("""COMPUTED_VALUE"""),6)</f>
        <v>6</v>
      </c>
      <c r="D111" s="0" t="str">
        <f aca="false">IFERROR(__xludf.dummyfunction("""COMPUTED_VALUE"""),"AICI202102-5-2| Documentar, socializar e implementar el mecanismo definido. (01/08/2021 - 28/02/2022)")</f>
        <v>AICI202102-5-2| Documentar, socializar e implementar el mecanismo definido. (01/08/2021 - 28/02/2022)</v>
      </c>
      <c r="E111" s="0" t="str">
        <f aca="false">IFERROR(__xludf.dummyfunction("""COMPUTED_VALUE"""),"No se evidencia la documentación y socialización del mecanismo definido por la auditoría concurrente para la gestión de hallazgos reiterativos y verificación de cumplimiento de las acciones, tal como se plantea en la acción.  La Oficina de Calidad envía u"&amp;"n correo haciendo claridad de que hay actividades que ya no aplican debido a los ajustes que se han venido desarrollando en procedimientos y actividades de las área y solicita sean pasadas a ""segundo ciclo"", también se adjunta acta de reunión realizada "&amp;"con la Subgerencia de Servicios de Salud, en la que se ""define la salida de la auditoría concurrente"" y ""se solicita que la actividad pase a segundo ciclo de mejoramiento y que sea monitoreada con actividad y procedimientos vigentes.  La explicación de"&amp;"scrita para efecto del seguimiento en el plan de mejoramiento anexo enuncia: ""ACTA : LA AUDITORIA CONCURRENTE SALE PORQUE EN ENFASIS DE LA AUDITORIA DE CALIDAD ES ADHERENCIA Y PERTINENCIA DE GUIAS DE PRACTICA CLINICA. ACTUALMENTE NOS ENCONTRAMOS HACIENDO"&amp;" EL AJUSTE A TODO EL PROGRAMA PAMEC. SE REALIZÓ O DOCUMENTO EL AJUSTE Al procedimiento de planes de mejora en dond s evidencia la metodología de formulación registro y segumiento. Esta metodología se viene socializando desde el mes de agosto a tanta perso"&amp;"nas. anexar listados de asistencia"".  
Esta explicación no se encuentra soportada debidamente, ya que la Oficina de Control Interno,  Instancia que realizó la auditoría y quién hay que presentar el avance del plan de mejoramiento, no ha recibido solicitu"&amp;"d escrita de cambio de la acción vencida, con la debida justificación y propuesta de una nueva acción y los tiempos dispuestos para tal fin, por ende no es válida la presentación de soportes que no corresponden a la acción planteada en el plan de mejora, "&amp;"por lo tanto la acción se encuentra atrasada.
")</f>
        <v>No se evidencia la documentación y socialización del mecanismo definido por la auditoría concurrente para la gestión de hallazgos reiterativos y verificación de cumplimiento de las acciones, tal como se plantea en la acción.  La Oficina de Calidad envía un correo haciendo claridad de que hay actividades que ya no aplican debido a los ajustes que se han venido desarrollando en procedimientos y actividades de las área y solicita sean pasadas a "segundo ciclo", también se adjunta acta de reunión realizada con la Subgerencia de Servicios de Salud, en la que se "define la salida de la auditoría concurrente" y "se solicita que la actividad pase a segundo ciclo de mejoramiento y que sea monitoreada con actividad y procedimientos vigentes.  La explicación descrita para efecto del seguimiento en el plan de mejoramiento anexo enuncia: "ACTA : LA AUDITORIA CONCURRENTE SALE PORQUE EN ENFASIS DE LA AUDITORIA DE CALIDAD ES ADHERENCIA Y PERTINENCIA DE GUIAS DE PRACTICA CLINICA. ACTUALMENTE NOS ENCONTRAMOS HACIENDO EL AJUSTE A TODO EL PROGRAMA PAMEC. SE REALIZÓ O DOCUMENTO EL AJUSTE Al procedimiento de planes de mejora en dond s evidencia la metodología de formulación registro y segumiento. Esta metodología se viene socializando desde el mes de agosto a tanta personas. anexar listados de asistencia".  
Esta explicación no se encuentra soportada debidamente, ya que la Oficina de Control Interno,  Instancia que realizó la auditoría y quién hay que presentar el avance del plan de mejoramiento, no ha recibido solicitud escrita de cambio de la acción vencida, con la debida justificación y propuesta de una nueva acción y los tiempos dispuestos para tal fin, por ende no es válida la presentación de soportes que no corresponden a la acción planteada en el plan de mejora, por lo tanto la acción se encuentra atrasada.
</v>
      </c>
      <c r="F111" s="0" t="str">
        <f aca="false">IFERROR(__xludf.dummyfunction("""COMPUTED_VALUE"""),"Atrasado")</f>
        <v>Atrasado</v>
      </c>
    </row>
    <row r="112" customFormat="false" ht="14.25" hidden="false" customHeight="false" outlineLevel="0" collapsed="false">
      <c r="A112" s="18" t="str">
        <f aca="false">IFERROR(MID(D112,1,FIND("|",D112)-1)&amp;"-"&amp;C112,"")</f>
        <v>AICI202102-5-3-6</v>
      </c>
      <c r="B112" s="19" t="n">
        <f aca="false">IFERROR(__xludf.dummyfunction("""COMPUTED_VALUE"""),44841)</f>
        <v>44841</v>
      </c>
      <c r="C112" s="0" t="n">
        <f aca="false">IFERROR(__xludf.dummyfunction("""COMPUTED_VALUE"""),6)</f>
        <v>6</v>
      </c>
      <c r="D112" s="0" t="str">
        <f aca="false">IFERROR(__xludf.dummyfunction("""COMPUTED_VALUE"""),"AICI202102-5-3| Actualizar el informe de auditoría concurrente a la atención COVID con datos de 2021 y generar el plan de mejora. (01/06/2021 - 31/07/2021)")</f>
        <v>AICI202102-5-3| Actualizar el informe de auditoría concurrente a la atención COVID con datos de 2021 y generar el plan de mejora. (01/06/2021 - 31/07/2021)</v>
      </c>
      <c r="E112" s="0" t="str">
        <f aca="false">IFERROR(__xludf.dummyfunction("""COMPUTED_VALUE"""),"Se presenta como soporte ""INFORME PORCENTAJE DE CUMPLIMIENTO INDICADORES UCI COVID"" enero a diciembre de 2021 el cual relaciona las siguiente oportunidades de mejora: 
 INDICADOR 1 Continuar adherencia a criterios de ingreso; INDICADOR 2 Mejorar la dete"&amp;"rminación de permanencia de un paciente en UCI de acuerdo con los criterios establecidos; INDICADOR 3 Mejorar tiempos de giro cama para optimizar la oportunidad de ingreso al servicio de Ucis; INDICADOR 4 Mejorar tiempos de giro cama para optimizar la opo"&amp;"rtunidad de egreso del servicio de uci a piso.
Otros: Mejorar la oportunidad en la entrega de la prueba RT-PCR; Realizar la actualización de los diagnósticos en el sistema antes del egreso; Registrar en cada paciente ingresado a UCI, las escalas predictor"&amp;"as de gravedad y mortalidad al ingreso.  Como soporte del plan de mejora se allega PAMEC cuyas acciones no tienen correspondencia con el informe, por lo tanto no se está dando cumplimiento a la totalidad de la acción y ésta continúa atrasada.
")</f>
        <v>Se presenta como soporte "INFORME PORCENTAJE DE CUMPLIMIENTO INDICADORES UCI COVID" enero a diciembre de 2021 el cual relaciona las siguiente oportunidades de mejora: 
 INDICADOR 1 Continuar adherencia a criterios de ingreso; INDICADOR 2 Mejorar la determinación de permanencia de un paciente en UCI de acuerdo con los criterios establecidos; INDICADOR 3 Mejorar tiempos de giro cama para optimizar la oportunidad de ingreso al servicio de Ucis; INDICADOR 4 Mejorar tiempos de giro cama para optimizar la oportunidad de egreso del servicio de uci a piso.
Otros: Mejorar la oportunidad en la entrega de la prueba RT-PCR; Realizar la actualización de los diagnósticos en el sistema antes del egreso; Registrar en cada paciente ingresado a UCI, las escalas predictoras de gravedad y mortalidad al ingreso.  Como soporte del plan de mejora se allega PAMEC cuyas acciones no tienen correspondencia con el informe, por lo tanto no se está dando cumplimiento a la totalidad de la acción y ésta continúa atrasada.
</v>
      </c>
      <c r="F112" s="0" t="str">
        <f aca="false">IFERROR(__xludf.dummyfunction("""COMPUTED_VALUE"""),"Atrasado")</f>
        <v>Atrasado</v>
      </c>
    </row>
    <row r="113" customFormat="false" ht="14.25" hidden="false" customHeight="false" outlineLevel="0" collapsed="false">
      <c r="A113" s="18" t="str">
        <f aca="false">IFERROR(MID(D113,1,FIND("|",D113)-1)&amp;"-"&amp;C113,"")</f>
        <v>AICI202102-8-1-6</v>
      </c>
      <c r="B113" s="19" t="n">
        <f aca="false">IFERROR(__xludf.dummyfunction("""COMPUTED_VALUE"""),44841)</f>
        <v>44841</v>
      </c>
      <c r="C113" s="0" t="n">
        <f aca="false">IFERROR(__xludf.dummyfunction("""COMPUTED_VALUE"""),6)</f>
        <v>6</v>
      </c>
      <c r="D113" s="0" t="str">
        <f aca="false">IFERROR(__xludf.dummyfunction("""COMPUTED_VALUE"""),"AICI202102-8-1| Validar la adecuación de la matriz existente para facilitar y garantizar el registro, monitoreo y control del cumplimiento de los requisitos de habilitación según Res. 3100 de 2019 y hacer los ajustes necesarios e implementarlos. (01/06/20"&amp;"21 - 31/08/2021)")</f>
        <v>AICI202102-8-1| Validar la adecuación de la matriz existente para facilitar y garantizar el registro, monitoreo y control del cumplimiento de los requisitos de habilitación según Res. 3100 de 2019 y hacer los ajustes necesarios e implementarlos. (01/06/2021 - 31/08/2021)</v>
      </c>
      <c r="E113" s="0" t="str">
        <f aca="false">IFERROR(__xludf.dummyfunction("""COMPUTED_VALUE"""),"Como soporte del cumplimiento de esta acción se envía un acta de reunión sostenida entre la dra. Elizabeth Castro gestora de habilitación y la Profesional Juliana Villalobos -auditora de la Oficina de Control Interno el día 30 de septiembre de 2022, en la"&amp;" cual se comentó la situación actual de avance del proceso de habilitación (centrado en las unidades que van a ser presentadas a acreditación), la proyección de actividades para dar cumplimiento a la autoevaluación de habilitación en demás Unidades, entre"&amp;" la cuales no está contemplada la verificación de las Unidades Simón Bolívar y CSE de Suba debido a la falta de talento humano para dar cumplimiento, se habla de algunas estrategias asociadas al avance de habilitación ""tips"" .  También se presentan pant"&amp;"allazos de los correos enviados al Señor William Meneses solicitando subir la carpeta de habilitación a almera para consulta, se muestran los pantallazos para aceder a la consulta.  Al realizar la consulta en Almera en la ruta almera/mapadeprocesos/gestió"&amp;"ndecalidad/gestiondelsistemaunicodehabilitacion//documentación/documentosasociados/acta se evidencia colgada la siguiente información: ""HERRAMIENTA DE VERIFICACIÓN DE CUMPLIMIENTO DE CONDICIONES DEL SISTEMA ÚNICO DE HABILITACIÓN RESOLUCIÓN 3100 DE 2019"""&amp;" la cual contiene la evaluación de los estándares de habilitación, para las unidades de Boyacá Real, Chapinero, Engativá, Españo la y Lorencita, con los servicios correspondientes y estado de cumplimiento, lo cual evidencia cumplimiento parcial de la acci"&amp;"ón de mejoramiento planteada.
Teniendo en cuenta que la proyección de las actividades de autoevaluación de las unidades faltantes se encuentra por fuera del plazo definido para la finalización de la acción y no hay fecha definida para la autoevaluación de"&amp;" 2 de las unidades no se puede dar cierre a la acción ya que no se está garantizando, el registro, monitoreo y control del cumplimiento de los requisitos de habilitación en todas las sedes..")</f>
        <v>Como soporte del cumplimiento de esta acción se envía un acta de reunión sostenida entre la dra. Elizabeth Castro gestora de habilitación y la Profesional Juliana Villalobos -auditora de la Oficina de Control Interno el día 30 de septiembre de 2022, en la cual se comentó la situación actual de avance del proceso de habilitación (centrado en las unidades que van a ser presentadas a acreditación), la proyección de actividades para dar cumplimiento a la autoevaluación de habilitación en demás Unidades, entre la cuales no está contemplada la verificación de las Unidades Simón Bolívar y CSE de Suba debido a la falta de talento humano para dar cumplimiento, se habla de algunas estrategias asociadas al avance de habilitación "tips" .  También se presentan pantallazos de los correos enviados al Señor William Meneses solicitando subir la carpeta de habilitación a almera para consulta, se muestran los pantallazos para aceder a la consulta.  Al realizar la consulta en Almera en la ruta almera/mapadeprocesos/gestióndecalidad/gestiondelsistemaunicodehabilitacion//documentación/documentosasociados/acta se evidencia colgada la siguiente información: "HERRAMIENTA DE VERIFICACIÓN DE CUMPLIMIENTO DE CONDICIONES DEL SISTEMA ÚNICO DE HABILITACIÓN RESOLUCIÓN 3100 DE 2019" la cual contiene la evaluación de los estándares de habilitación, para las unidades de Boyacá Real, Chapinero, Engativá, Españo la y Lorencita, con los servicios correspondientes y estado de cumplimiento, lo cual evidencia cumplimiento parcial de la acción de mejoramiento planteada.
Teniendo en cuenta que la proyección de las actividades de autoevaluación de las unidades faltantes se encuentra por fuera del plazo definido para la finalización de la acción y no hay fecha definida para la autoevaluación de 2 de las unidades no se puede dar cierre a la acción ya que no se está garantizando, el registro, monitoreo y control del cumplimiento de los requisitos de habilitación en todas las sedes..</v>
      </c>
      <c r="F113" s="0" t="str">
        <f aca="false">IFERROR(__xludf.dummyfunction("""COMPUTED_VALUE"""),"Atrasado")</f>
        <v>Atrasado</v>
      </c>
    </row>
    <row r="114" customFormat="false" ht="14.25" hidden="false" customHeight="false" outlineLevel="0" collapsed="false">
      <c r="A114" s="18" t="str">
        <f aca="false">IFERROR(MID(D114,1,FIND("|",D114)-1)&amp;"-"&amp;C114,"")</f>
        <v>AICI202102-13-2-6</v>
      </c>
      <c r="B114" s="19" t="n">
        <f aca="false">IFERROR(__xludf.dummyfunction("""COMPUTED_VALUE"""),44841)</f>
        <v>44841</v>
      </c>
      <c r="C114" s="0" t="n">
        <f aca="false">IFERROR(__xludf.dummyfunction("""COMPUTED_VALUE"""),6)</f>
        <v>6</v>
      </c>
      <c r="D114" s="0" t="str">
        <f aca="false">IFERROR(__xludf.dummyfunction("""COMPUTED_VALUE"""),"AICI202102-13-2| Evaluar la entrega y calidad de las actas de los equipos primarios de mejoramiento para la toma de acciones de mejora y retroalimentar a los directivos y líderes de los grupos de estándare el resultado de la evaluación. (01/09/2021 - 31/0"&amp;"1/2022)")</f>
        <v>AICI202102-13-2| Evaluar la entrega y calidad de las actas de los equipos primarios de mejoramiento para la toma de acciones de mejora y retroalimentar a los directivos y líderes de los grupos de estándare el resultado de la evaluación. (01/09/2021 - 31/01/2022)</v>
      </c>
      <c r="E114" s="0" t="str">
        <f aca="false">IFERROR(__xludf.dummyfunction("""COMPUTED_VALUE"""),"Los soportes de autoevaluación de acreditación, soportes de relanzamiento de acreditación y actas de reunión de equipo de mejoramiento no dan respuesta a la acción evaluar la entrega y calidad de las actas de los equipos primarios de mejoramiento, por lo "&amp;"tanto no se puede dar cierre a la acción.")</f>
        <v>Los soportes de autoevaluación de acreditación, soportes de relanzamiento de acreditación y actas de reunión de equipo de mejoramiento no dan respuesta a la acción evaluar la entrega y calidad de las actas de los equipos primarios de mejoramiento, por lo tanto no se puede dar cierre a la acción.</v>
      </c>
      <c r="F114" s="0" t="str">
        <f aca="false">IFERROR(__xludf.dummyfunction("""COMPUTED_VALUE"""),"Atrasado")</f>
        <v>Atrasado</v>
      </c>
    </row>
    <row r="115" customFormat="false" ht="14.25" hidden="false" customHeight="false" outlineLevel="0" collapsed="false">
      <c r="A115" s="18" t="str">
        <f aca="false">IFERROR(MID(D115,1,FIND("|",D115)-1)&amp;"-"&amp;C115,"")</f>
        <v>AICI202102-5-2-7</v>
      </c>
      <c r="B115" s="19" t="n">
        <f aca="false">IFERROR(__xludf.dummyfunction("""COMPUTED_VALUE"""),44930)</f>
        <v>44930</v>
      </c>
      <c r="C115" s="0" t="n">
        <f aca="false">IFERROR(__xludf.dummyfunction("""COMPUTED_VALUE"""),7)</f>
        <v>7</v>
      </c>
      <c r="D115" s="0" t="str">
        <f aca="false">IFERROR(__xludf.dummyfunction("""COMPUTED_VALUE"""),"AICI202102-5-2| Documentar, socializar e implementar el mecanismo definido. (01/08/2021 - 28/02/2022)")</f>
        <v>AICI202102-5-2| Documentar, socializar e implementar el mecanismo definido. (01/08/2021 - 28/02/2022)</v>
      </c>
      <c r="E115" s="0" t="str">
        <f aca="false">IFERROR(__xludf.dummyfunction("""COMPUTED_VALUE"""),"En la plataforma Armerase se visualiza Plan de mejora 74 del paciente trazador con oportunidades de mejora desde la 993 a la acción 1000,con fecha de agosto 1 de 2022")</f>
        <v>En la plataforma Armerase se visualiza Plan de mejora 74 del paciente trazador con oportunidades de mejora desde la 993 a la acción 1000,con fecha de agosto 1 de 2022</v>
      </c>
      <c r="F115" s="0" t="str">
        <f aca="false">IFERROR(__xludf.dummyfunction("""COMPUTED_VALUE"""),"Completo")</f>
        <v>Completo</v>
      </c>
      <c r="G115" s="0" t="str">
        <f aca="false">IFERROR(__xludf.dummyfunction("""COMPUTED_VALUE"""),"Sí")</f>
        <v>Sí</v>
      </c>
    </row>
    <row r="116" customFormat="false" ht="14.25" hidden="false" customHeight="false" outlineLevel="0" collapsed="false">
      <c r="A116" s="18" t="str">
        <f aca="false">IFERROR(MID(D116,1,FIND("|",D116)-1)&amp;"-"&amp;C116,"")</f>
        <v>AICI202102-5-3-7</v>
      </c>
      <c r="B116" s="19" t="n">
        <f aca="false">IFERROR(__xludf.dummyfunction("""COMPUTED_VALUE"""),44930)</f>
        <v>44930</v>
      </c>
      <c r="C116" s="0" t="n">
        <f aca="false">IFERROR(__xludf.dummyfunction("""COMPUTED_VALUE"""),7)</f>
        <v>7</v>
      </c>
      <c r="D116" s="0" t="str">
        <f aca="false">IFERROR(__xludf.dummyfunction("""COMPUTED_VALUE"""),"AICI202102-5-3| Actualizar el informe de auditoría concurrente a la atención COVID con datos de 2021 y generar el plan de mejora. (01/06/2021 - 31/07/2021)")</f>
        <v>AICI202102-5-3| Actualizar el informe de auditoría concurrente a la atención COVID con datos de 2021 y generar el plan de mejora. (01/06/2021 - 31/07/2021)</v>
      </c>
      <c r="E116" s="0" t="str">
        <f aca="false">IFERROR(__xludf.dummyfunction("""COMPUTED_VALUE"""),"En la plataforma Almera se evidencia el Pamec 56 relacionado con el seguimiento a planes de bioseguridad Covid  19,con fecha de inicio de agosto 30 de 2022, con las oportunidades de mejora 1251 y 1252,las cuales se evidencia seguimiento en un 100%,se anex"&amp;"a seguimiento")</f>
        <v>En la plataforma Almera se evidencia el Pamec 56 relacionado con el seguimiento a planes de bioseguridad Covid  19,con fecha de inicio de agosto 30 de 2022, con las oportunidades de mejora 1251 y 1252,las cuales se evidencia seguimiento en un 100%,se anexa seguimiento</v>
      </c>
      <c r="F116" s="0" t="str">
        <f aca="false">IFERROR(__xludf.dummyfunction("""COMPUTED_VALUE"""),"Completo")</f>
        <v>Completo</v>
      </c>
      <c r="G116" s="0" t="str">
        <f aca="false">IFERROR(__xludf.dummyfunction("""COMPUTED_VALUE"""),"Sí")</f>
        <v>Sí</v>
      </c>
    </row>
    <row r="117" customFormat="false" ht="14.25" hidden="false" customHeight="false" outlineLevel="0" collapsed="false">
      <c r="A117" s="18" t="str">
        <f aca="false">IFERROR(MID(D117,1,FIND("|",D117)-1)&amp;"-"&amp;C117,"")</f>
        <v>AICI202102-8-1-7</v>
      </c>
      <c r="B117" s="19" t="n">
        <f aca="false">IFERROR(__xludf.dummyfunction("""COMPUTED_VALUE"""),44930)</f>
        <v>44930</v>
      </c>
      <c r="C117" s="0" t="n">
        <f aca="false">IFERROR(__xludf.dummyfunction("""COMPUTED_VALUE"""),7)</f>
        <v>7</v>
      </c>
      <c r="D117" s="0" t="str">
        <f aca="false">IFERROR(__xludf.dummyfunction("""COMPUTED_VALUE"""),"AICI202102-8-1| Validar la adecuación de la matriz existente para facilitar y garantizar el registro, monitoreo y control del cumplimiento de los requisitos de habilitación según Res. 3100 de 2019 y hacer los ajustes necesarios e implementarlos. (01/06/20"&amp;"21 - 31/08/2021)")</f>
        <v>AICI202102-8-1| Validar la adecuación de la matriz existente para facilitar y garantizar el registro, monitoreo y control del cumplimiento de los requisitos de habilitación según Res. 3100 de 2019 y hacer los ajustes necesarios e implementarlos. (01/06/2021 - 31/08/2021)</v>
      </c>
      <c r="E117" s="0" t="str">
        <f aca="false">IFERROR(__xludf.dummyfunction("""COMPUTED_VALUE"""),"Se evidencia el instructivo con código ES-GC-I-37-02,el cual es una herramienta de verificación para el cumplimiento de las condiciones de habilitación y se anexan auatoevaluaciones de algunas sedes,demostrandose que se estan realizando las autoevaluacion"&amp;"es con la respectiva herramienta")</f>
        <v>Se evidencia el instructivo con código ES-GC-I-37-02,el cual es una herramienta de verificación para el cumplimiento de las condiciones de habilitación y se anexan auatoevaluaciones de algunas sedes,demostrandose que se estan realizando las autoevaluaciones con la respectiva herramienta</v>
      </c>
      <c r="F117" s="0" t="str">
        <f aca="false">IFERROR(__xludf.dummyfunction("""COMPUTED_VALUE"""),"Completo")</f>
        <v>Completo</v>
      </c>
      <c r="G117" s="0" t="str">
        <f aca="false">IFERROR(__xludf.dummyfunction("""COMPUTED_VALUE"""),"Sí")</f>
        <v>Sí</v>
      </c>
    </row>
    <row r="118" customFormat="false" ht="14.25" hidden="false" customHeight="false" outlineLevel="0" collapsed="false">
      <c r="A118" s="18" t="str">
        <f aca="false">IFERROR(MID(D118,1,FIND("|",D118)-1)&amp;"-"&amp;C118,"")</f>
        <v>AICI202102-13-2-7</v>
      </c>
      <c r="B118" s="19" t="n">
        <f aca="false">IFERROR(__xludf.dummyfunction("""COMPUTED_VALUE"""),44931)</f>
        <v>44931</v>
      </c>
      <c r="C118" s="0" t="n">
        <f aca="false">IFERROR(__xludf.dummyfunction("""COMPUTED_VALUE"""),7)</f>
        <v>7</v>
      </c>
      <c r="D118" s="0" t="str">
        <f aca="false">IFERROR(__xludf.dummyfunction("""COMPUTED_VALUE"""),"AICI202102-13-2| Evaluar la entrega y calidad de las actas de los equipos primarios de mejoramiento para la toma de acciones de mejora y retroalimentar a los directivos y líderes de los grupos de estándare el resultado de la evaluación. (01/09/2021 - 31/0"&amp;"1/2022)")</f>
        <v>AICI202102-13-2| Evaluar la entrega y calidad de las actas de los equipos primarios de mejoramiento para la toma de acciones de mejora y retroalimentar a los directivos y líderes de los grupos de estándare el resultado de la evaluación. (01/09/2021 - 31/01/2022)</v>
      </c>
      <c r="E118" s="0" t="str">
        <f aca="false">IFERROR(__xludf.dummyfunction("""COMPUTED_VALUE"""),"Se anexan actas de los meses de julio,octubre y diciembre ,se evidencia en la herramienta Almera,listados de asistencia y presentaciones de  los equipos primarios de mejoramiento y al comité de Gestión y desempeño,el cual vá dirijido a los directivos,se r"&amp;"evisan funciones de los equipos primarios.")</f>
        <v>Se anexan actas de los meses de julio,octubre y diciembre ,se evidencia en la herramienta Almera,listados de asistencia y presentaciones de  los equipos primarios de mejoramiento y al comité de Gestión y desempeño,el cual vá dirijido a los directivos,se revisan funciones de los equipos primarios.</v>
      </c>
      <c r="F118" s="0" t="str">
        <f aca="false">IFERROR(__xludf.dummyfunction("""COMPUTED_VALUE"""),"Completo")</f>
        <v>Completo</v>
      </c>
      <c r="G118" s="0" t="str">
        <f aca="false">IFERROR(__xludf.dummyfunction("""COMPUTED_VALUE"""),"Sí")</f>
        <v>Sí</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4" min="4" style="0" width="32.57"/>
  </cols>
  <sheetData>
    <row r="1" customFormat="false" ht="12.75" hidden="false" customHeight="false" outlineLevel="0" collapsed="false">
      <c r="A1" s="13" t="s">
        <v>1803</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AICI202103-1-1-1</v>
      </c>
      <c r="B4" s="19" t="n">
        <f aca="false">IFERROR(__xludf.dummyfunction("""COMPUTED_VALUE"""),44490)</f>
        <v>44490</v>
      </c>
      <c r="C4" s="0" t="n">
        <f aca="false">IFERROR(__xludf.dummyfunction("""COMPUTED_VALUE"""),1)</f>
        <v>1</v>
      </c>
      <c r="D4" s="0" t="str">
        <f aca="false">IFERROR(__xludf.dummyfunction("""COMPUTED_VALUE"""),"AICI202103-1-1| Formalizar la caracterización del proceso (01/07/2021 - 31/12/2021)")</f>
        <v>AICI202103-1-1| Formalizar la caracterización del proceso (01/07/2021 - 31/12/2021)</v>
      </c>
      <c r="E4" s="0" t="str">
        <f aca="false">IFERROR(__xludf.dummyfunction("""COMPUTED_VALUE"""),"Se realiza plan de trabajo para desarrollar la tarea se acordó con la Oficina Asesora de Desarrollo Institucional realizar reuniones periódicas para hacer seguimiento y así cumplir las fases de la tarea ,no se evidencia cuantas fases están proyectadas, se"&amp;" anexa correo de plan de trabajo con desarrollo institucional")</f>
        <v>Se realiza plan de trabajo para desarrollar la tarea se acordó con la Oficina Asesora de Desarrollo Institucional realizar reuniones periódicas para hacer seguimiento y así cumplir las fases de la tarea ,no se evidencia cuantas fases están proyectadas, se anexa correo de plan de trabajo con desarrollo institucional</v>
      </c>
      <c r="F4" s="0" t="str">
        <f aca="false">IFERROR(__xludf.dummyfunction("""COMPUTED_VALUE"""),"En desarrollo")</f>
        <v>En desarrollo</v>
      </c>
    </row>
    <row r="5" customFormat="false" ht="14.25" hidden="false" customHeight="false" outlineLevel="0" collapsed="false">
      <c r="A5" s="18" t="str">
        <f aca="false">IFERROR(MID(D5,1,FIND("|",D5)-1)&amp;"-"&amp;C5,"")</f>
        <v>AICI202103-2-1-1</v>
      </c>
      <c r="B5" s="19" t="n">
        <f aca="false">IFERROR(__xludf.dummyfunction("""COMPUTED_VALUE"""),44490)</f>
        <v>44490</v>
      </c>
      <c r="C5" s="0" t="n">
        <f aca="false">IFERROR(__xludf.dummyfunction("""COMPUTED_VALUE"""),1)</f>
        <v>1</v>
      </c>
      <c r="D5" s="0" t="str">
        <f aca="false">IFERROR(__xludf.dummyfunction("""COMPUTED_VALUE"""),"AICI202103-2-1| Actualizar y formalizar el nuevo Plan de Comunicaciones. (01/07/2021 - 31/12/2021)")</f>
        <v>AICI202103-2-1| Actualizar y formalizar el nuevo Plan de Comunicaciones. (01/07/2021 - 31/12/2021)</v>
      </c>
      <c r="E5" s="0" t="str">
        <f aca="false">IFERROR(__xludf.dummyfunction("""COMPUTED_VALUE"""),"Se evidencia nuevo Plan de Comunicaciones en versión 5,teniendo en cuenta el Plan de Desarrollo 2021-2024,el Manual de Acreditación, MIPG en la Dimensión 5 de Comunicaciones")</f>
        <v>Se evidencia nuevo Plan de Comunicaciones en versión 5,teniendo en cuenta el Plan de Desarrollo 2021-2024,el Manual de Acreditación, MIPG en la Dimensión 5 de Comunicaciones</v>
      </c>
      <c r="F5" s="0" t="str">
        <f aca="false">IFERROR(__xludf.dummyfunction("""COMPUTED_VALUE"""),"Completo")</f>
        <v>Completo</v>
      </c>
    </row>
    <row r="6" customFormat="false" ht="14.25" hidden="false" customHeight="false" outlineLevel="0" collapsed="false">
      <c r="A6" s="18" t="str">
        <f aca="false">IFERROR(MID(D6,1,FIND("|",D6)-1)&amp;"-"&amp;C6,"")</f>
        <v>AICI202103-2-2-1</v>
      </c>
      <c r="B6" s="19" t="n">
        <f aca="false">IFERROR(__xludf.dummyfunction("""COMPUTED_VALUE"""),44503)</f>
        <v>44503</v>
      </c>
      <c r="C6" s="0" t="n">
        <f aca="false">IFERROR(__xludf.dummyfunction("""COMPUTED_VALUE"""),1)</f>
        <v>1</v>
      </c>
      <c r="D6" s="0" t="str">
        <f aca="false">IFERROR(__xludf.dummyfunction("""COMPUTED_VALUE"""),"AICI202103-2-2| Formalizar cuadro de mando de control de estrategias e indicadores. (01/07/2021 - 31/12/2021)")</f>
        <v>AICI202103-2-2| Formalizar cuadro de mando de control de estrategias e indicadores. (01/07/2021 - 31/12/2021)</v>
      </c>
      <c r="E6" s="0" t="str">
        <f aca="false">IFERROR(__xludf.dummyfunction("""COMPUTED_VALUE"""),"Se anexa cuadro de seguimiento a PECO")</f>
        <v>Se anexa cuadro de seguimiento a PECO</v>
      </c>
      <c r="F6" s="0" t="str">
        <f aca="false">IFERROR(__xludf.dummyfunction("""COMPUTED_VALUE"""),"Completo")</f>
        <v>Completo</v>
      </c>
    </row>
    <row r="7" customFormat="false" ht="14.25" hidden="false" customHeight="false" outlineLevel="0" collapsed="false">
      <c r="A7" s="18" t="str">
        <f aca="false">IFERROR(MID(D7,1,FIND("|",D7)-1)&amp;"-"&amp;C7,"")</f>
        <v>AICI202103-2-2-1</v>
      </c>
      <c r="B7" s="19" t="n">
        <f aca="false">IFERROR(__xludf.dummyfunction("""COMPUTED_VALUE"""),44490)</f>
        <v>44490</v>
      </c>
      <c r="C7" s="0" t="n">
        <f aca="false">IFERROR(__xludf.dummyfunction("""COMPUTED_VALUE"""),1)</f>
        <v>1</v>
      </c>
      <c r="D7" s="0" t="str">
        <f aca="false">IFERROR(__xludf.dummyfunction("""COMPUTED_VALUE"""),"AICI202103-2-2| Formalizar cuadro de mando de control de estrategias e indicadores. (01/07/2021 - 31/12/2021)")</f>
        <v>AICI202103-2-2| Formalizar cuadro de mando de control de estrategias e indicadores. (01/07/2021 - 31/12/2021)</v>
      </c>
      <c r="E7" s="0" t="str">
        <f aca="false">IFERROR(__xludf.dummyfunction("""COMPUTED_VALUE"""),"Se evidencia Matriz de seguimiento a estrategias de PECO con  CÓDIGO: ES-GE-F-22-01 versión 1 para el control de Indicadores")</f>
        <v>Se evidencia Matriz de seguimiento a estrategias de PECO con  CÓDIGO: ES-GE-F-22-01 versión 1 para el control de Indicadores</v>
      </c>
      <c r="F7" s="0" t="str">
        <f aca="false">IFERROR(__xludf.dummyfunction("""COMPUTED_VALUE"""),"Completo")</f>
        <v>Completo</v>
      </c>
    </row>
    <row r="8" customFormat="false" ht="14.25" hidden="false" customHeight="false" outlineLevel="0" collapsed="false">
      <c r="A8" s="18" t="str">
        <f aca="false">IFERROR(MID(D8,1,FIND("|",D8)-1)&amp;"-"&amp;C8,"")</f>
        <v>AICI202103-3-1-1</v>
      </c>
      <c r="B8" s="19" t="n">
        <f aca="false">IFERROR(__xludf.dummyfunction("""COMPUTED_VALUE"""),44509)</f>
        <v>44509</v>
      </c>
      <c r="C8" s="0" t="n">
        <f aca="false">IFERROR(__xludf.dummyfunction("""COMPUTED_VALUE"""),1)</f>
        <v>1</v>
      </c>
      <c r="D8" s="0" t="str">
        <f aca="false">IFERROR(__xludf.dummyfunction("""COMPUTED_VALUE"""),"AICI202103-3-1| Realizar mediciones de las estrategias e indicadores y llevarlos en el cuadro de mando de control. (01/07/2021 - 31/12/2021)")</f>
        <v>AICI202103-3-1| Realizar mediciones de las estrategias e indicadores y llevarlos en el cuadro de mando de control. (01/07/2021 - 31/12/2021)</v>
      </c>
      <c r="E8" s="0" t="str">
        <f aca="false">IFERROR(__xludf.dummyfunction("""COMPUTED_VALUE"""),"Se observa la matriz de seguimiento diligenciada con los seguimientos y los indicadores del tercer trimestre, la ficha técnica del indicador y la encuesta de comunicaciones")</f>
        <v>Se observa la matriz de seguimiento diligenciada con los seguimientos y los indicadores del tercer trimestre, la ficha técnica del indicador y la encuesta de comunicaciones</v>
      </c>
      <c r="F8" s="0" t="str">
        <f aca="false">IFERROR(__xludf.dummyfunction("""COMPUTED_VALUE"""),"En desarrollo")</f>
        <v>En desarrollo</v>
      </c>
    </row>
    <row r="9" customFormat="false" ht="14.25" hidden="false" customHeight="false" outlineLevel="0" collapsed="false">
      <c r="A9" s="18" t="str">
        <f aca="false">IFERROR(MID(D9,1,FIND("|",D9)-1)&amp;"-"&amp;C9,"")</f>
        <v>AICI202103-4-1-1</v>
      </c>
      <c r="B9" s="19" t="n">
        <f aca="false">IFERROR(__xludf.dummyfunction("""COMPUTED_VALUE"""),44509)</f>
        <v>44509</v>
      </c>
      <c r="C9" s="0" t="n">
        <f aca="false">IFERROR(__xludf.dummyfunction("""COMPUTED_VALUE"""),1)</f>
        <v>1</v>
      </c>
      <c r="D9" s="0" t="str">
        <f aca="false">IFERROR(__xludf.dummyfunction("""COMPUTED_VALUE"""),"AICI202103-4-1| Realizar inventario de carteleras por espacios (usuarios - colaboradores) (01/07/2021 - 31/12/2021)")</f>
        <v>AICI202103-4-1| Realizar inventario de carteleras por espacios (usuarios - colaboradores) (01/07/2021 - 31/12/2021)</v>
      </c>
      <c r="E9" s="0" t="str">
        <f aca="false">IFERROR(__xludf.dummyfunction("""COMPUTED_VALUE"""),"Se realizó un formulario para el inventario de carteleras en el siguiente link https://forms.gle/R2USZBxuhVHonimn8")</f>
        <v>Se realizó un formulario para el inventario de carteleras en el siguiente link https://forms.gle/R2USZBxuhVHonimn8</v>
      </c>
      <c r="F9" s="0" t="str">
        <f aca="false">IFERROR(__xludf.dummyfunction("""COMPUTED_VALUE"""),"En desarrollo")</f>
        <v>En desarrollo</v>
      </c>
    </row>
    <row r="10" customFormat="false" ht="14.25" hidden="false" customHeight="false" outlineLevel="0" collapsed="false">
      <c r="A10" s="18" t="str">
        <f aca="false">IFERROR(MID(D10,1,FIND("|",D10)-1)&amp;"-"&amp;C10,"")</f>
        <v>AICI202103-4-2-1</v>
      </c>
      <c r="B10" s="19" t="n">
        <f aca="false">IFERROR(__xludf.dummyfunction("""COMPUTED_VALUE"""),44509)</f>
        <v>44509</v>
      </c>
      <c r="C10" s="0" t="n">
        <f aca="false">IFERROR(__xludf.dummyfunction("""COMPUTED_VALUE"""),1)</f>
        <v>1</v>
      </c>
      <c r="D10" s="0" t="str">
        <f aca="false">IFERROR(__xludf.dummyfunction("""COMPUTED_VALUE"""),"AICI202103-4-2| Generar estrategias con los gestores, para la actualización mensual de las carteleras. (01/07/2021 - 31/12/2021)")</f>
        <v>AICI202103-4-2| Generar estrategias con los gestores, para la actualización mensual de las carteleras. (01/07/2021 - 31/12/2021)</v>
      </c>
      <c r="E10" s="0" t="str">
        <f aca="false">IFERROR(__xludf.dummyfunction("""COMPUTED_VALUE"""),"En el plan de comunicaciones, anexo   N° 7 se observa el protocolo para la utilización de carteleras institucionales")</f>
        <v>En el plan de comunicaciones, anexo   N° 7 se observa el protocolo para la utilización de carteleras institucionales</v>
      </c>
      <c r="F10" s="0" t="str">
        <f aca="false">IFERROR(__xludf.dummyfunction("""COMPUTED_VALUE"""),"En desarrollo")</f>
        <v>En desarrollo</v>
      </c>
    </row>
    <row r="11" customFormat="false" ht="14.25" hidden="false" customHeight="false" outlineLevel="0" collapsed="false">
      <c r="A11" s="18" t="str">
        <f aca="false">IFERROR(MID(D11,1,FIND("|",D11)-1)&amp;"-"&amp;C11,"")</f>
        <v>AICI202103-7-1-1</v>
      </c>
      <c r="B11" s="19" t="n">
        <f aca="false">IFERROR(__xludf.dummyfunction("""COMPUTED_VALUE"""),44509)</f>
        <v>44509</v>
      </c>
      <c r="C11" s="0" t="n">
        <f aca="false">IFERROR(__xludf.dummyfunction("""COMPUTED_VALUE"""),1)</f>
        <v>1</v>
      </c>
      <c r="D11" s="0" t="str">
        <f aca="false">IFERROR(__xludf.dummyfunction("""COMPUTED_VALUE"""),"AICI202103-7-1| Actualizar y formalizar el nuevo Plan de Comunicaciones. (01/07/2021 - 31/12/2021)")</f>
        <v>AICI202103-7-1| Actualizar y formalizar el nuevo Plan de Comunicaciones. (01/07/2021 - 31/12/2021)</v>
      </c>
      <c r="E11" s="0" t="str">
        <f aca="false">IFERROR(__xludf.dummyfunction("""COMPUTED_VALUE"""),"Se actualizó el Plan de Comunicaciones con código ES-GE-PL-01-05,versión 5")</f>
        <v>Se actualizó el Plan de Comunicaciones con código ES-GE-PL-01-05,versión 5</v>
      </c>
      <c r="F11" s="0" t="str">
        <f aca="false">IFERROR(__xludf.dummyfunction("""COMPUTED_VALUE"""),"Completo")</f>
        <v>Completo</v>
      </c>
    </row>
    <row r="12" customFormat="false" ht="14.25" hidden="false" customHeight="false" outlineLevel="0" collapsed="false">
      <c r="A12" s="18" t="str">
        <f aca="false">IFERROR(MID(D12,1,FIND("|",D12)-1)&amp;"-"&amp;C12,"")</f>
        <v>AICI202103-8-1-1</v>
      </c>
      <c r="B12" s="19" t="n">
        <f aca="false">IFERROR(__xludf.dummyfunction("""COMPUTED_VALUE"""),44511)</f>
        <v>44511</v>
      </c>
      <c r="C12" s="0" t="n">
        <f aca="false">IFERROR(__xludf.dummyfunction("""COMPUTED_VALUE"""),1)</f>
        <v>1</v>
      </c>
      <c r="D12" s="0" t="str">
        <f aca="false">IFERROR(__xludf.dummyfunction("""COMPUTED_VALUE"""),"AICI202103-8-1| Establecer los procedimientos del proceso, con los puntos de control adecuados, con apoyo de la Oficina de Desarrollo Institucional. (01/07/2021 - 31/12/2021)")</f>
        <v>AICI202103-8-1| Establecer los procedimientos del proceso, con los puntos de control adecuados, con apoyo de la Oficina de Desarrollo Institucional. (01/07/2021 - 31/12/2021)</v>
      </c>
      <c r="E12" s="0" t="str">
        <f aca="false">IFERROR(__xludf.dummyfunction("""COMPUTED_VALUE"""),"Se anexa invitación con la Oficina Asesora de Desarrollo Institucional para mesa de trabajo")</f>
        <v>Se anexa invitación con la Oficina Asesora de Desarrollo Institucional para mesa de trabajo</v>
      </c>
      <c r="F12" s="0" t="str">
        <f aca="false">IFERROR(__xludf.dummyfunction("""COMPUTED_VALUE"""),"En desarrollo")</f>
        <v>En desarrollo</v>
      </c>
    </row>
    <row r="13" customFormat="false" ht="14.25" hidden="false" customHeight="false" outlineLevel="0" collapsed="false">
      <c r="A13" s="18" t="str">
        <f aca="false">IFERROR(MID(D13,1,FIND("|",D13)-1)&amp;"-"&amp;C13,"")</f>
        <v>AICI202103-9-1-1</v>
      </c>
      <c r="B13" s="19" t="n">
        <f aca="false">IFERROR(__xludf.dummyfunction("""COMPUTED_VALUE"""),44511)</f>
        <v>44511</v>
      </c>
      <c r="C13" s="0" t="n">
        <f aca="false">IFERROR(__xludf.dummyfunction("""COMPUTED_VALUE"""),1)</f>
        <v>1</v>
      </c>
      <c r="D13" s="0" t="str">
        <f aca="false">IFERROR(__xludf.dummyfunction("""COMPUTED_VALUE"""),"AICI202103-9-1| Revisar y establecer los formatos del proceso. (01/07/2021 - 31/12/2021)")</f>
        <v>AICI202103-9-1| Revisar y establecer los formatos del proceso. (01/07/2021 - 31/12/2021)</v>
      </c>
      <c r="E13" s="0" t="str">
        <f aca="false">IFERROR(__xludf.dummyfunction("""COMPUTED_VALUE"""),"Se encuentran en la fase de revisión y ajustes de documentos")</f>
        <v>Se encuentran en la fase de revisión y ajustes de documentos</v>
      </c>
      <c r="F13" s="0" t="str">
        <f aca="false">IFERROR(__xludf.dummyfunction("""COMPUTED_VALUE"""),"En desarrollo")</f>
        <v>En desarrollo</v>
      </c>
    </row>
    <row r="14" customFormat="false" ht="14.25" hidden="false" customHeight="false" outlineLevel="0" collapsed="false">
      <c r="A14" s="18" t="str">
        <f aca="false">IFERROR(MID(D14,1,FIND("|",D14)-1)&amp;"-"&amp;C14,"")</f>
        <v>AICI202103-10-1-1</v>
      </c>
      <c r="B14" s="19" t="n">
        <f aca="false">IFERROR(__xludf.dummyfunction("""COMPUTED_VALUE"""),44511)</f>
        <v>44511</v>
      </c>
      <c r="C14" s="0" t="n">
        <f aca="false">IFERROR(__xludf.dummyfunction("""COMPUTED_VALUE"""),1)</f>
        <v>1</v>
      </c>
      <c r="D14" s="0" t="str">
        <f aca="false">IFERROR(__xludf.dummyfunction("""COMPUTED_VALUE"""),"AICI202103-10-1| Realizar mediciones de las estrategias e indicadores y llevarlos en el cuadro de mando de control y a la hoja de vida del indicador. (01/07/2021 - 31/12/2021)")</f>
        <v>AICI202103-10-1| Realizar mediciones de las estrategias e indicadores y llevarlos en el cuadro de mando de control y a la hoja de vida del indicador. (01/07/2021 - 31/12/2021)</v>
      </c>
      <c r="E14" s="0" t="str">
        <f aca="false">IFERROR(__xludf.dummyfunction("""COMPUTED_VALUE"""),"Se anexa hoja de vida del indicador, cuadro de mando y encuesta de satisfacción")</f>
        <v>Se anexa hoja de vida del indicador, cuadro de mando y encuesta de satisfacción</v>
      </c>
      <c r="F14" s="0" t="str">
        <f aca="false">IFERROR(__xludf.dummyfunction("""COMPUTED_VALUE"""),"En desarrollo")</f>
        <v>En desarrollo</v>
      </c>
    </row>
    <row r="15" customFormat="false" ht="14.25" hidden="false" customHeight="false" outlineLevel="0" collapsed="false">
      <c r="A15" s="18" t="str">
        <f aca="false">IFERROR(MID(D15,1,FIND("|",D15)-1)&amp;"-"&amp;C15,"")</f>
        <v>AICI202103-11-1-1</v>
      </c>
      <c r="B15" s="19" t="n">
        <f aca="false">IFERROR(__xludf.dummyfunction("""COMPUTED_VALUE"""),44511)</f>
        <v>44511</v>
      </c>
      <c r="C15" s="0" t="n">
        <f aca="false">IFERROR(__xludf.dummyfunction("""COMPUTED_VALUE"""),1)</f>
        <v>1</v>
      </c>
      <c r="D15" s="0" t="str">
        <f aca="false">IFERROR(__xludf.dummyfunction("""COMPUTED_VALUE"""),"AICI202103-11-1| Reformulación del Mapa de Riesgos del proceso. (01/07/2021 - 31/12/2021)")</f>
        <v>AICI202103-11-1| Reformulación del Mapa de Riesgos del proceso. (01/07/2021 - 31/12/2021)</v>
      </c>
      <c r="E15" s="0" t="str">
        <f aca="false">IFERROR(__xludf.dummyfunction("""COMPUTED_VALUE"""),"Se reformulará el mapa de riesgos cuando la Oficina de Desarrollo Institucional inicie el proceso")</f>
        <v>Se reformulará el mapa de riesgos cuando la Oficina de Desarrollo Institucional inicie el proceso</v>
      </c>
      <c r="F15" s="0" t="str">
        <f aca="false">IFERROR(__xludf.dummyfunction("""COMPUTED_VALUE"""),"No iniciado")</f>
        <v>No iniciado</v>
      </c>
    </row>
    <row r="16" customFormat="false" ht="14.25" hidden="false" customHeight="false" outlineLevel="0" collapsed="false">
      <c r="A16" s="18" t="str">
        <f aca="false">IFERROR(MID(D16,1,FIND("|",D16)-1)&amp;"-"&amp;C16,"")</f>
        <v>AICI202103-12-1-1</v>
      </c>
      <c r="B16" s="19" t="n">
        <f aca="false">IFERROR(__xludf.dummyfunction("""COMPUTED_VALUE"""),44511)</f>
        <v>44511</v>
      </c>
      <c r="C16" s="0" t="n">
        <f aca="false">IFERROR(__xludf.dummyfunction("""COMPUTED_VALUE"""),1)</f>
        <v>1</v>
      </c>
      <c r="D16" s="0" t="str">
        <f aca="false">IFERROR(__xludf.dummyfunction("""COMPUTED_VALUE"""),"AICI202103-12-1| El Plan de Comunicaciones Covid-19 se incluirá como un anexo del Plan de Comunicaciones General y será formalizado (01/07/2021 - 31/12/2021)")</f>
        <v>AICI202103-12-1| El Plan de Comunicaciones Covid-19 se incluirá como un anexo del Plan de Comunicaciones General y será formalizado (01/07/2021 - 31/12/2021)</v>
      </c>
      <c r="E16" s="0" t="str">
        <f aca="false">IFERROR(__xludf.dummyfunction("""COMPUTED_VALUE"""),"Se anexa plan de comunicaciones observándose en el anexo 1 y 2 estratégicas de comunicación frente al Covid 19  ")</f>
        <v>Se anexa plan de comunicaciones observándose en el anexo 1 y 2 estratégicas de comunicación frente al Covid 19  </v>
      </c>
      <c r="F16" s="0" t="str">
        <f aca="false">IFERROR(__xludf.dummyfunction("""COMPUTED_VALUE"""),"Completo")</f>
        <v>Completo</v>
      </c>
    </row>
    <row r="17" customFormat="false" ht="14.25" hidden="false" customHeight="false" outlineLevel="0" collapsed="false">
      <c r="A17" s="18" t="str">
        <f aca="false">IFERROR(MID(D17,1,FIND("|",D17)-1)&amp;"-"&amp;C17,"")</f>
        <v>AICI202103-13-1-1</v>
      </c>
      <c r="B17" s="19" t="n">
        <f aca="false">IFERROR(__xludf.dummyfunction("""COMPUTED_VALUE"""),44511)</f>
        <v>44511</v>
      </c>
      <c r="C17" s="0" t="n">
        <f aca="false">IFERROR(__xludf.dummyfunction("""COMPUTED_VALUE"""),1)</f>
        <v>1</v>
      </c>
      <c r="D17" s="0" t="str">
        <f aca="false">IFERROR(__xludf.dummyfunction("""COMPUTED_VALUE"""),"AICI202103-13-1| Actualizar y formalizar el nuevo Plan de Comunicaciones. (01/07/2021 - 31/12/2021)")</f>
        <v>AICI202103-13-1| Actualizar y formalizar el nuevo Plan de Comunicaciones. (01/07/2021 - 31/12/2021)</v>
      </c>
      <c r="E17" s="0" t="str">
        <f aca="false">IFERROR(__xludf.dummyfunction("""COMPUTED_VALUE"""),"Se anexa plan de comunicaciones en versión 5")</f>
        <v>Se anexa plan de comunicaciones en versión 5</v>
      </c>
      <c r="F17" s="0" t="str">
        <f aca="false">IFERROR(__xludf.dummyfunction("""COMPUTED_VALUE"""),"Completo")</f>
        <v>Completo</v>
      </c>
    </row>
    <row r="18" customFormat="false" ht="14.25" hidden="false" customHeight="false" outlineLevel="0" collapsed="false">
      <c r="A18" s="18" t="str">
        <f aca="false">IFERROR(MID(D18,1,FIND("|",D18)-1)&amp;"-"&amp;C18,"")</f>
        <v>AICI202103-14-1-1</v>
      </c>
      <c r="B18" s="19" t="n">
        <f aca="false">IFERROR(__xludf.dummyfunction("""COMPUTED_VALUE"""),44511)</f>
        <v>44511</v>
      </c>
      <c r="C18" s="0" t="n">
        <f aca="false">IFERROR(__xludf.dummyfunction("""COMPUTED_VALUE"""),1)</f>
        <v>1</v>
      </c>
      <c r="D18" s="0" t="str">
        <f aca="false">IFERROR(__xludf.dummyfunction("""COMPUTED_VALUE"""),"AICI202103-14-1| Reportar trimestralmente las acciones establecidas en el plan de mejoramiento MIPG liderado por la Oficina de Desarrollo Institucional (01/07/2021 - 31/12/2021)")</f>
        <v>AICI202103-14-1| Reportar trimestralmente las acciones establecidas en el plan de mejoramiento MIPG liderado por la Oficina de Desarrollo Institucional (01/07/2021 - 31/12/2021)</v>
      </c>
      <c r="E18" s="0" t="str">
        <f aca="false">IFERROR(__xludf.dummyfunction("""COMPUTED_VALUE"""),"Se anexa reporte trimestral del Plan MIPG a la oficina de desarrollo Institucional")</f>
        <v>Se anexa reporte trimestral del Plan MIPG a la oficina de desarrollo Institucional</v>
      </c>
      <c r="F18" s="0" t="str">
        <f aca="false">IFERROR(__xludf.dummyfunction("""COMPUTED_VALUE"""),"En desarrollo")</f>
        <v>En desarrollo</v>
      </c>
    </row>
    <row r="19" customFormat="false" ht="14.25" hidden="false" customHeight="false" outlineLevel="0" collapsed="false">
      <c r="A19" s="18" t="str">
        <f aca="false">IFERROR(MID(D19,1,FIND("|",D19)-1)&amp;"-"&amp;C19,"")</f>
        <v>AICI202103-1-1-2</v>
      </c>
      <c r="B19" s="19" t="n">
        <f aca="false">IFERROR(__xludf.dummyfunction("""COMPUTED_VALUE"""),44659)</f>
        <v>44659</v>
      </c>
      <c r="C19" s="0" t="n">
        <f aca="false">IFERROR(__xludf.dummyfunction("""COMPUTED_VALUE"""),2)</f>
        <v>2</v>
      </c>
      <c r="D19" s="0" t="str">
        <f aca="false">IFERROR(__xludf.dummyfunction("""COMPUTED_VALUE"""),"AICI202103-1-1| Formalizar la caracterización del proceso (01/07/2021 - 31/12/2021)")</f>
        <v>AICI202103-1-1| Formalizar la caracterización del proceso (01/07/2021 - 31/12/2021)</v>
      </c>
      <c r="E19" s="0" t="str">
        <f aca="false">IFERROR(__xludf.dummyfunction("""COMPUTED_VALUE"""),"No se ha realizado la caracterización del proceso,la fecha final era para diciembre 2021")</f>
        <v>No se ha realizado la caracterización del proceso,la fecha final era para diciembre 2021</v>
      </c>
      <c r="F19" s="0" t="str">
        <f aca="false">IFERROR(__xludf.dummyfunction("""COMPUTED_VALUE"""),"Atrasado")</f>
        <v>Atrasado</v>
      </c>
    </row>
    <row r="20" customFormat="false" ht="14.25" hidden="false" customHeight="false" outlineLevel="0" collapsed="false">
      <c r="A20" s="18" t="str">
        <f aca="false">IFERROR(MID(D20,1,FIND("|",D20)-1)&amp;"-"&amp;C20,"")</f>
        <v>AICI202103-3-1-2</v>
      </c>
      <c r="B20" s="19" t="n">
        <f aca="false">IFERROR(__xludf.dummyfunction("""COMPUTED_VALUE"""),44659)</f>
        <v>44659</v>
      </c>
      <c r="C20" s="0" t="n">
        <f aca="false">IFERROR(__xludf.dummyfunction("""COMPUTED_VALUE"""),2)</f>
        <v>2</v>
      </c>
      <c r="D20" s="0" t="str">
        <f aca="false">IFERROR(__xludf.dummyfunction("""COMPUTED_VALUE"""),"AICI202103-3-1| Realizar mediciones de las estrategias e indicadores y llevarlos en el cuadro de mando de control. (01/07/2021 - 31/12/2021)")</f>
        <v>AICI202103-3-1| Realizar mediciones de las estrategias e indicadores y llevarlos en el cuadro de mando de control. (01/07/2021 - 31/12/2021)</v>
      </c>
      <c r="E20" s="0" t="str">
        <f aca="false">IFERROR(__xludf.dummyfunction("""COMPUTED_VALUE"""),"Se observa cuadro de mando unificado del 2021 de estrategía PECO,se anexa encuestas de satisfacción")</f>
        <v>Se observa cuadro de mando unificado del 2021 de estrategía PECO,se anexa encuestas de satisfacción</v>
      </c>
      <c r="F20" s="0" t="str">
        <f aca="false">IFERROR(__xludf.dummyfunction("""COMPUTED_VALUE"""),"Completo")</f>
        <v>Completo</v>
      </c>
      <c r="G20" s="0" t="str">
        <f aca="false">IFERROR(__xludf.dummyfunction("""COMPUTED_VALUE"""),"Sí")</f>
        <v>Sí</v>
      </c>
    </row>
    <row r="21" customFormat="false" ht="14.25" hidden="false" customHeight="false" outlineLevel="0" collapsed="false">
      <c r="A21" s="18" t="str">
        <f aca="false">IFERROR(MID(D21,1,FIND("|",D21)-1)&amp;"-"&amp;C21,"")</f>
        <v>AICI202103-4-1-2</v>
      </c>
      <c r="B21" s="19" t="n">
        <f aca="false">IFERROR(__xludf.dummyfunction("""COMPUTED_VALUE"""),44659)</f>
        <v>44659</v>
      </c>
      <c r="C21" s="0" t="n">
        <f aca="false">IFERROR(__xludf.dummyfunction("""COMPUTED_VALUE"""),2)</f>
        <v>2</v>
      </c>
      <c r="D21" s="0" t="str">
        <f aca="false">IFERROR(__xludf.dummyfunction("""COMPUTED_VALUE"""),"AICI202103-4-1| Realizar inventario de carteleras por espacios (usuarios - colaboradores) (01/07/2021 - 31/12/2021)")</f>
        <v>AICI202103-4-1| Realizar inventario de carteleras por espacios (usuarios - colaboradores) (01/07/2021 - 31/12/2021)</v>
      </c>
      <c r="E21" s="0" t="str">
        <f aca="false">IFERROR(__xludf.dummyfunction("""COMPUTED_VALUE"""),"Se realizó inventario de carteleras,encontrandose un total de 139 carteleras")</f>
        <v>Se realizó inventario de carteleras,encontrandose un total de 139 carteleras</v>
      </c>
      <c r="F21" s="0" t="str">
        <f aca="false">IFERROR(__xludf.dummyfunction("""COMPUTED_VALUE"""),"Completo")</f>
        <v>Completo</v>
      </c>
      <c r="G21" s="0" t="str">
        <f aca="false">IFERROR(__xludf.dummyfunction("""COMPUTED_VALUE"""),"Sí")</f>
        <v>Sí</v>
      </c>
    </row>
    <row r="22" customFormat="false" ht="14.25" hidden="false" customHeight="false" outlineLevel="0" collapsed="false">
      <c r="A22" s="18" t="str">
        <f aca="false">IFERROR(MID(D22,1,FIND("|",D22)-1)&amp;"-"&amp;C22,"")</f>
        <v>AICI202103-4-2-2</v>
      </c>
      <c r="B22" s="19" t="n">
        <f aca="false">IFERROR(__xludf.dummyfunction("""COMPUTED_VALUE"""),44659)</f>
        <v>44659</v>
      </c>
      <c r="C22" s="0" t="n">
        <f aca="false">IFERROR(__xludf.dummyfunction("""COMPUTED_VALUE"""),2)</f>
        <v>2</v>
      </c>
      <c r="D22" s="0" t="str">
        <f aca="false">IFERROR(__xludf.dummyfunction("""COMPUTED_VALUE"""),"AICI202103-4-2| Generar estrategias con los gestores, para la actualización mensual de las carteleras. (01/07/2021 - 31/12/2021)")</f>
        <v>AICI202103-4-2| Generar estrategias con los gestores, para la actualización mensual de las carteleras. (01/07/2021 - 31/12/2021)</v>
      </c>
      <c r="E22" s="0" t="str">
        <f aca="false">IFERROR(__xludf.dummyfunction("""COMPUTED_VALUE"""),"En el plan de comunicaciones se encuentra el protocolo de comunicaciones en el cual en normas de uso de las carteleras,se actualizará el contenido quincenalmente por parte de la oficina de comunicaciones")</f>
        <v>En el plan de comunicaciones se encuentra el protocolo de comunicaciones en el cual en normas de uso de las carteleras,se actualizará el contenido quincenalmente por parte de la oficina de comunicaciones</v>
      </c>
      <c r="F22" s="0" t="str">
        <f aca="false">IFERROR(__xludf.dummyfunction("""COMPUTED_VALUE"""),"Completo")</f>
        <v>Completo</v>
      </c>
      <c r="G22" s="0" t="str">
        <f aca="false">IFERROR(__xludf.dummyfunction("""COMPUTED_VALUE"""),"Sí")</f>
        <v>Sí</v>
      </c>
    </row>
    <row r="23" customFormat="false" ht="14.25" hidden="false" customHeight="false" outlineLevel="0" collapsed="false">
      <c r="A23" s="18" t="str">
        <f aca="false">IFERROR(MID(D23,1,FIND("|",D23)-1)&amp;"-"&amp;C23,"")</f>
        <v>AICI202103-8-1-2</v>
      </c>
      <c r="B23" s="19" t="n">
        <f aca="false">IFERROR(__xludf.dummyfunction("""COMPUTED_VALUE"""),44659)</f>
        <v>44659</v>
      </c>
      <c r="C23" s="0" t="n">
        <f aca="false">IFERROR(__xludf.dummyfunction("""COMPUTED_VALUE"""),2)</f>
        <v>2</v>
      </c>
      <c r="D23" s="0" t="str">
        <f aca="false">IFERROR(__xludf.dummyfunction("""COMPUTED_VALUE"""),"AICI202103-8-1| Establecer los procedimientos del proceso, con los puntos de control adecuados, con apoyo de la Oficina de Desarrollo Institucional. (01/07/2021 - 31/12/2021)")</f>
        <v>AICI202103-8-1| Establecer los procedimientos del proceso, con los puntos de control adecuados, con apoyo de la Oficina de Desarrollo Institucional. (01/07/2021 - 31/12/2021)</v>
      </c>
      <c r="E23" s="0" t="str">
        <f aca="false">IFERROR(__xludf.dummyfunction("""COMPUTED_VALUE"""),"a la fecha no evidencia procedimiento del proceso,ni puntos de control")</f>
        <v>a la fecha no evidencia procedimiento del proceso,ni puntos de control</v>
      </c>
      <c r="F23" s="0" t="str">
        <f aca="false">IFERROR(__xludf.dummyfunction("""COMPUTED_VALUE"""),"Atrasado")</f>
        <v>Atrasado</v>
      </c>
    </row>
    <row r="24" customFormat="false" ht="14.25" hidden="false" customHeight="false" outlineLevel="0" collapsed="false">
      <c r="A24" s="18" t="str">
        <f aca="false">IFERROR(MID(D24,1,FIND("|",D24)-1)&amp;"-"&amp;C24,"")</f>
        <v>AICI202103-9-1-2</v>
      </c>
      <c r="B24" s="19" t="n">
        <f aca="false">IFERROR(__xludf.dummyfunction("""COMPUTED_VALUE"""),44659)</f>
        <v>44659</v>
      </c>
      <c r="C24" s="0" t="n">
        <f aca="false">IFERROR(__xludf.dummyfunction("""COMPUTED_VALUE"""),2)</f>
        <v>2</v>
      </c>
      <c r="D24" s="0" t="str">
        <f aca="false">IFERROR(__xludf.dummyfunction("""COMPUTED_VALUE"""),"AICI202103-9-1| Revisar y establecer los formatos del proceso. (01/07/2021 - 31/12/2021)")</f>
        <v>AICI202103-9-1| Revisar y establecer los formatos del proceso. (01/07/2021 - 31/12/2021)</v>
      </c>
      <c r="E24" s="0" t="str">
        <f aca="false">IFERROR(__xludf.dummyfunction("""COMPUTED_VALUE"""),"Se revisaron y se ajustaron los documentos del proceso")</f>
        <v>Se revisaron y se ajustaron los documentos del proceso</v>
      </c>
      <c r="F24" s="0" t="str">
        <f aca="false">IFERROR(__xludf.dummyfunction("""COMPUTED_VALUE"""),"Completo")</f>
        <v>Completo</v>
      </c>
      <c r="G24" s="0" t="str">
        <f aca="false">IFERROR(__xludf.dummyfunction("""COMPUTED_VALUE"""),"Sí")</f>
        <v>Sí</v>
      </c>
    </row>
    <row r="25" customFormat="false" ht="14.25" hidden="false" customHeight="false" outlineLevel="0" collapsed="false">
      <c r="A25" s="18" t="str">
        <f aca="false">IFERROR(MID(D25,1,FIND("|",D25)-1)&amp;"-"&amp;C25,"")</f>
        <v>AICI202103-10-1-2</v>
      </c>
      <c r="B25" s="19" t="n">
        <f aca="false">IFERROR(__xludf.dummyfunction("""COMPUTED_VALUE"""),44659)</f>
        <v>44659</v>
      </c>
      <c r="C25" s="0" t="n">
        <f aca="false">IFERROR(__xludf.dummyfunction("""COMPUTED_VALUE"""),2)</f>
        <v>2</v>
      </c>
      <c r="D25" s="0" t="str">
        <f aca="false">IFERROR(__xludf.dummyfunction("""COMPUTED_VALUE"""),"AICI202103-10-1| Realizar mediciones de las estrategias e indicadores y llevarlos en el cuadro de mando de control y a la hoja de vida del indicador. (01/07/2021 - 31/12/2021)")</f>
        <v>AICI202103-10-1| Realizar mediciones de las estrategias e indicadores y llevarlos en el cuadro de mando de control y a la hoja de vida del indicador. (01/07/2021 - 31/12/2021)</v>
      </c>
      <c r="E25" s="0" t="str">
        <f aca="false">IFERROR(__xludf.dummyfunction("""COMPUTED_VALUE"""),"Se realizó medición  de estrategias de comunicaciones,se anexa segunda encuesta y el indicador de porcentaje de cumplimiento del plan de comunicaciones ")</f>
        <v>Se realizó medición  de estrategias de comunicaciones,se anexa segunda encuesta y el indicador de porcentaje de cumplimiento del plan de comunicaciones </v>
      </c>
      <c r="F25" s="0" t="str">
        <f aca="false">IFERROR(__xludf.dummyfunction("""COMPUTED_VALUE"""),"Completo")</f>
        <v>Completo</v>
      </c>
      <c r="G25" s="0" t="str">
        <f aca="false">IFERROR(__xludf.dummyfunction("""COMPUTED_VALUE"""),"Sí")</f>
        <v>Sí</v>
      </c>
    </row>
    <row r="26" customFormat="false" ht="14.25" hidden="false" customHeight="false" outlineLevel="0" collapsed="false">
      <c r="A26" s="18" t="str">
        <f aca="false">IFERROR(MID(D26,1,FIND("|",D26)-1)&amp;"-"&amp;C26,"")</f>
        <v>AICI202103-11-1-2</v>
      </c>
      <c r="B26" s="19" t="n">
        <f aca="false">IFERROR(__xludf.dummyfunction("""COMPUTED_VALUE"""),44659)</f>
        <v>44659</v>
      </c>
      <c r="C26" s="0" t="n">
        <f aca="false">IFERROR(__xludf.dummyfunction("""COMPUTED_VALUE"""),2)</f>
        <v>2</v>
      </c>
      <c r="D26" s="0" t="str">
        <f aca="false">IFERROR(__xludf.dummyfunction("""COMPUTED_VALUE"""),"AICI202103-11-1| Reformulación del Mapa de Riesgos del proceso. (01/07/2021 - 31/12/2021)")</f>
        <v>AICI202103-11-1| Reformulación del Mapa de Riesgos del proceso. (01/07/2021 - 31/12/2021)</v>
      </c>
      <c r="E26" s="0" t="str">
        <f aca="false">IFERROR(__xludf.dummyfunction("""COMPUTED_VALUE"""),"No se ha reformulado el mapa de riesgos,ni se evidencia indicador al seguimiento de la información al grupo directivo,se anexa el Manual para el manejo de situaciones de crisis en comunicaciones")</f>
        <v>No se ha reformulado el mapa de riesgos,ni se evidencia indicador al seguimiento de la información al grupo directivo,se anexa el Manual para el manejo de situaciones de crisis en comunicaciones</v>
      </c>
      <c r="F26" s="0" t="str">
        <f aca="false">IFERROR(__xludf.dummyfunction("""COMPUTED_VALUE"""),"Atrasado")</f>
        <v>Atrasado</v>
      </c>
    </row>
    <row r="27" customFormat="false" ht="14.25" hidden="false" customHeight="false" outlineLevel="0" collapsed="false">
      <c r="A27" s="18" t="str">
        <f aca="false">IFERROR(MID(D27,1,FIND("|",D27)-1)&amp;"-"&amp;C27,"")</f>
        <v>AICI202103-14-1-2</v>
      </c>
      <c r="B27" s="19" t="n">
        <f aca="false">IFERROR(__xludf.dummyfunction("""COMPUTED_VALUE"""),44659)</f>
        <v>44659</v>
      </c>
      <c r="C27" s="0" t="n">
        <f aca="false">IFERROR(__xludf.dummyfunction("""COMPUTED_VALUE"""),2)</f>
        <v>2</v>
      </c>
      <c r="D27" s="0" t="str">
        <f aca="false">IFERROR(__xludf.dummyfunction("""COMPUTED_VALUE"""),"AICI202103-14-1| Reportar trimestralmente las acciones establecidas en el plan de mejoramiento MIPG liderado por la Oficina de Desarrollo Institucional (01/07/2021 - 31/12/2021)")</f>
        <v>AICI202103-14-1| Reportar trimestralmente las acciones establecidas en el plan de mejoramiento MIPG liderado por la Oficina de Desarrollo Institucional (01/07/2021 - 31/12/2021)</v>
      </c>
      <c r="E27" s="0" t="str">
        <f aca="false">IFERROR(__xludf.dummyfunction("""COMPUTED_VALUE"""),"Se anexan los seguimientos de las acciones de MIPG en el ultimo trimestre 2021")</f>
        <v>Se anexan los seguimientos de las acciones de MIPG en el ultimo trimestre 2021</v>
      </c>
      <c r="F27" s="0" t="str">
        <f aca="false">IFERROR(__xludf.dummyfunction("""COMPUTED_VALUE"""),"Completo")</f>
        <v>Completo</v>
      </c>
      <c r="G27" s="0" t="str">
        <f aca="false">IFERROR(__xludf.dummyfunction("""COMPUTED_VALUE"""),"Sí")</f>
        <v>Sí</v>
      </c>
    </row>
    <row r="28" customFormat="false" ht="14.25" hidden="false" customHeight="false" outlineLevel="0" collapsed="false">
      <c r="A28" s="18" t="str">
        <f aca="false">IFERROR(MID(D28,1,FIND("|",D28)-1)&amp;"-"&amp;C28,"")</f>
        <v>AICI202103-1-1-3</v>
      </c>
      <c r="B28" s="19" t="n">
        <f aca="false">IFERROR(__xludf.dummyfunction("""COMPUTED_VALUE"""),44750)</f>
        <v>44750</v>
      </c>
      <c r="C28" s="0" t="n">
        <f aca="false">IFERROR(__xludf.dummyfunction("""COMPUTED_VALUE"""),3)</f>
        <v>3</v>
      </c>
      <c r="D28" s="0" t="str">
        <f aca="false">IFERROR(__xludf.dummyfunction("""COMPUTED_VALUE"""),"AICI202103-1-1| Formalizar la caracterización del proceso (01/07/2021 - 31/12/2021)")</f>
        <v>AICI202103-1-1| Formalizar la caracterización del proceso (01/07/2021 - 31/12/2021)</v>
      </c>
      <c r="E28" s="0" t="str">
        <f aca="false">IFERROR(__xludf.dummyfunction("""COMPUTED_VALUE"""),"No se evidencian avances en la acción de caracterización del proceso")</f>
        <v>No se evidencian avances en la acción de caracterización del proceso</v>
      </c>
      <c r="F28" s="0" t="str">
        <f aca="false">IFERROR(__xludf.dummyfunction("""COMPUTED_VALUE"""),"Atrasado")</f>
        <v>Atrasado</v>
      </c>
    </row>
    <row r="29" customFormat="false" ht="14.25" hidden="false" customHeight="false" outlineLevel="0" collapsed="false">
      <c r="A29" s="18" t="str">
        <f aca="false">IFERROR(MID(D29,1,FIND("|",D29)-1)&amp;"-"&amp;C29,"")</f>
        <v>AICI202103-8-1-3</v>
      </c>
      <c r="B29" s="19" t="n">
        <f aca="false">IFERROR(__xludf.dummyfunction("""COMPUTED_VALUE"""),44750)</f>
        <v>44750</v>
      </c>
      <c r="C29" s="0" t="n">
        <f aca="false">IFERROR(__xludf.dummyfunction("""COMPUTED_VALUE"""),3)</f>
        <v>3</v>
      </c>
      <c r="D29" s="0" t="str">
        <f aca="false">IFERROR(__xludf.dummyfunction("""COMPUTED_VALUE"""),"AICI202103-8-1| Establecer los procedimientos del proceso, con los puntos de control adecuados, con apoyo de la Oficina de Desarrollo Institucional. (01/07/2021 - 31/12/2021)")</f>
        <v>AICI202103-8-1| Establecer los procedimientos del proceso, con los puntos de control adecuados, con apoyo de la Oficina de Desarrollo Institucional. (01/07/2021 - 31/12/2021)</v>
      </c>
      <c r="E29" s="0" t="str">
        <f aca="false">IFERROR(__xludf.dummyfunction("""COMPUTED_VALUE"""),"El líder de al oficina de comunicaciones informa que no se han dado avances sobre la construcción de los procedimientos, dado que la oficina de desarrollo institucional no ha dado respuesta a los requerimientos enviados vía correo electrónico.")</f>
        <v>El líder de al oficina de comunicaciones informa que no se han dado avances sobre la construcción de los procedimientos, dado que la oficina de desarrollo institucional no ha dado respuesta a los requerimientos enviados vía correo electrónico.</v>
      </c>
      <c r="F29" s="0" t="str">
        <f aca="false">IFERROR(__xludf.dummyfunction("""COMPUTED_VALUE"""),"Atrasado")</f>
        <v>Atrasado</v>
      </c>
    </row>
    <row r="30" customFormat="false" ht="14.25" hidden="false" customHeight="false" outlineLevel="0" collapsed="false">
      <c r="A30" s="18" t="str">
        <f aca="false">IFERROR(MID(D30,1,FIND("|",D30)-1)&amp;"-"&amp;C30,"")</f>
        <v>AICI202103-11-1-3</v>
      </c>
      <c r="B30" s="19" t="n">
        <f aca="false">IFERROR(__xludf.dummyfunction("""COMPUTED_VALUE"""),44750)</f>
        <v>44750</v>
      </c>
      <c r="C30" s="0" t="n">
        <f aca="false">IFERROR(__xludf.dummyfunction("""COMPUTED_VALUE"""),3)</f>
        <v>3</v>
      </c>
      <c r="D30" s="0" t="str">
        <f aca="false">IFERROR(__xludf.dummyfunction("""COMPUTED_VALUE"""),"AICI202103-11-1| Reformulación del Mapa de Riesgos del proceso. (01/07/2021 - 31/12/2021)")</f>
        <v>AICI202103-11-1| Reformulación del Mapa de Riesgos del proceso. (01/07/2021 - 31/12/2021)</v>
      </c>
      <c r="E30" s="0" t="str">
        <f aca="false">IFERROR(__xludf.dummyfunction("""COMPUTED_VALUE"""),"No se evidencian avances en el período sobre Reformulación del Mapa de Riesgos del proceso.")</f>
        <v>No se evidencian avances en el período sobre Reformulación del Mapa de Riesgos del proceso.</v>
      </c>
      <c r="F30" s="0" t="str">
        <f aca="false">IFERROR(__xludf.dummyfunction("""COMPUTED_VALUE"""),"Atrasado")</f>
        <v>Atrasado</v>
      </c>
    </row>
    <row r="31" customFormat="false" ht="14.25" hidden="false" customHeight="false" outlineLevel="0" collapsed="false">
      <c r="A31" s="18" t="str">
        <f aca="false">IFERROR(MID(D31,1,FIND("|",D31)-1)&amp;"-"&amp;C31,"")</f>
        <v>AICI202103-1-1-4</v>
      </c>
      <c r="B31" s="19" t="n">
        <f aca="false">IFERROR(__xludf.dummyfunction("""COMPUTED_VALUE"""),44840)</f>
        <v>44840</v>
      </c>
      <c r="C31" s="0" t="n">
        <f aca="false">IFERROR(__xludf.dummyfunction("""COMPUTED_VALUE"""),4)</f>
        <v>4</v>
      </c>
      <c r="D31" s="0" t="str">
        <f aca="false">IFERROR(__xludf.dummyfunction("""COMPUTED_VALUE"""),"AICI202103-1-1| Formalizar la caracterización del proceso (01/07/2021 - 31/12/2021)")</f>
        <v>AICI202103-1-1| Formalizar la caracterización del proceso (01/07/2021 - 31/12/2021)</v>
      </c>
      <c r="E31" s="0" t="str">
        <f aca="false">IFERROR(__xludf.dummyfunction("""COMPUTED_VALUE"""),"Se observa caracterización del servicio de comunicaciones ,pendiente normalizar en calidad")</f>
        <v>Se observa caracterización del servicio de comunicaciones ,pendiente normalizar en calidad</v>
      </c>
      <c r="F31" s="0" t="str">
        <f aca="false">IFERROR(__xludf.dummyfunction("""COMPUTED_VALUE"""),"Atrasado")</f>
        <v>Atrasado</v>
      </c>
    </row>
    <row r="32" customFormat="false" ht="14.25" hidden="false" customHeight="false" outlineLevel="0" collapsed="false">
      <c r="A32" s="18" t="str">
        <f aca="false">IFERROR(MID(D32,1,FIND("|",D32)-1)&amp;"-"&amp;C32,"")</f>
        <v>AICI202103-8-1-4</v>
      </c>
      <c r="B32" s="19" t="n">
        <f aca="false">IFERROR(__xludf.dummyfunction("""COMPUTED_VALUE"""),44840)</f>
        <v>44840</v>
      </c>
      <c r="C32" s="0" t="n">
        <f aca="false">IFERROR(__xludf.dummyfunction("""COMPUTED_VALUE"""),4)</f>
        <v>4</v>
      </c>
      <c r="D32" s="0" t="str">
        <f aca="false">IFERROR(__xludf.dummyfunction("""COMPUTED_VALUE"""),"AICI202103-8-1| Establecer los procedimientos del proceso, con los puntos de control adecuados, con apoyo de la Oficina de Desarrollo Institucional. (01/07/2021 - 31/12/2021)")</f>
        <v>AICI202103-8-1| Establecer los procedimientos del proceso, con los puntos de control adecuados, con apoyo de la Oficina de Desarrollo Institucional. (01/07/2021 - 31/12/2021)</v>
      </c>
      <c r="E32" s="0" t="str">
        <f aca="false">IFERROR(__xludf.dummyfunction("""COMPUTED_VALUE""")," Realizaron mesa de trabajo para definir los mecanismos de supervisión del proceso con la Oficina de Desarrollo Institucional,pendiente la aprobación por parte de la Junta Directiva.,la evidencia aportada no es pertinente con el hallazgo")</f>
        <v> Realizaron mesa de trabajo para definir los mecanismos de supervisión del proceso con la Oficina de Desarrollo Institucional,pendiente la aprobación por parte de la Junta Directiva.,la evidencia aportada no es pertinente con el hallazgo</v>
      </c>
      <c r="F32" s="0" t="str">
        <f aca="false">IFERROR(__xludf.dummyfunction("""COMPUTED_VALUE"""),"Atrasado")</f>
        <v>Atrasado</v>
      </c>
    </row>
    <row r="33" customFormat="false" ht="14.25" hidden="false" customHeight="false" outlineLevel="0" collapsed="false">
      <c r="A33" s="18" t="str">
        <f aca="false">IFERROR(MID(D33,1,FIND("|",D33)-1)&amp;"-"&amp;C33,"")</f>
        <v>AICI202103-11-1-4</v>
      </c>
      <c r="B33" s="19" t="n">
        <f aca="false">IFERROR(__xludf.dummyfunction("""COMPUTED_VALUE"""),44840)</f>
        <v>44840</v>
      </c>
      <c r="C33" s="0" t="n">
        <f aca="false">IFERROR(__xludf.dummyfunction("""COMPUTED_VALUE"""),4)</f>
        <v>4</v>
      </c>
      <c r="D33" s="0" t="str">
        <f aca="false">IFERROR(__xludf.dummyfunction("""COMPUTED_VALUE"""),"AICI202103-11-1| Reformulación del Mapa de Riesgos del proceso. (01/07/2021 - 31/12/2021)")</f>
        <v>AICI202103-11-1| Reformulación del Mapa de Riesgos del proceso. (01/07/2021 - 31/12/2021)</v>
      </c>
      <c r="E33" s="0" t="str">
        <f aca="false">IFERROR(__xludf.dummyfunction("""COMPUTED_VALUE"""),"No hay evidencia de la actualización del mapa de riesgos")</f>
        <v>No hay evidencia de la actualización del mapa de riesgos</v>
      </c>
      <c r="F33" s="0" t="str">
        <f aca="false">IFERROR(__xludf.dummyfunction("""COMPUTED_VALUE"""),"Atrasado")</f>
        <v>Atrasado</v>
      </c>
    </row>
    <row r="34" customFormat="false" ht="14.25" hidden="false" customHeight="false" outlineLevel="0" collapsed="false">
      <c r="A34" s="18" t="str">
        <f aca="false">IFERROR(MID(D34,1,FIND("|",D34)-1)&amp;"-"&amp;C34,"")</f>
        <v>AICI202103-1-1-5</v>
      </c>
      <c r="B34" s="19" t="n">
        <f aca="false">IFERROR(__xludf.dummyfunction("""COMPUTED_VALUE"""),44938)</f>
        <v>44938</v>
      </c>
      <c r="C34" s="0" t="n">
        <f aca="false">IFERROR(__xludf.dummyfunction("""COMPUTED_VALUE"""),5)</f>
        <v>5</v>
      </c>
      <c r="D34" s="0" t="str">
        <f aca="false">IFERROR(__xludf.dummyfunction("""COMPUTED_VALUE"""),"AICI202103-1-1| Formalizar la caracterización del proceso (01/07/2021 - 31/12/2021)")</f>
        <v>AICI202103-1-1| Formalizar la caracterización del proceso (01/07/2021 - 31/12/2021)</v>
      </c>
      <c r="E34" s="0" t="str">
        <f aca="false">IFERROR(__xludf.dummyfunction("""COMPUTED_VALUE"""),"Se evidencia la caracterización del proceso de comunicaciones código: PL-P-06-01 de fecha  septiembre de 2022				")</f>
        <v>Se evidencia la caracterización del proceso de comunicaciones código: PL-P-06-01 de fecha  septiembre de 2022				</v>
      </c>
      <c r="F34" s="0" t="str">
        <f aca="false">IFERROR(__xludf.dummyfunction("""COMPUTED_VALUE"""),"Completo")</f>
        <v>Completo</v>
      </c>
      <c r="G34" s="0" t="str">
        <f aca="false">IFERROR(__xludf.dummyfunction("""COMPUTED_VALUE"""),"Sí")</f>
        <v>Sí</v>
      </c>
    </row>
    <row r="35" customFormat="false" ht="14.25" hidden="false" customHeight="false" outlineLevel="0" collapsed="false">
      <c r="A35" s="18" t="str">
        <f aca="false">IFERROR(MID(D35,1,FIND("|",D35)-1)&amp;"-"&amp;C35,"")</f>
        <v>AICI202103-8-1-5</v>
      </c>
      <c r="B35" s="19" t="n">
        <f aca="false">IFERROR(__xludf.dummyfunction("""COMPUTED_VALUE"""),44938)</f>
        <v>44938</v>
      </c>
      <c r="C35" s="0" t="n">
        <f aca="false">IFERROR(__xludf.dummyfunction("""COMPUTED_VALUE"""),5)</f>
        <v>5</v>
      </c>
      <c r="D35" s="0" t="str">
        <f aca="false">IFERROR(__xludf.dummyfunction("""COMPUTED_VALUE"""),"AICI202103-8-1| Establecer los procedimientos del proceso, con los puntos de control adecuados, con apoyo de la Oficina de Desarrollo Institucional. (01/07/2021 - 31/12/2021)")</f>
        <v>AICI202103-8-1| Establecer los procedimientos del proceso, con los puntos de control adecuados, con apoyo de la Oficina de Desarrollo Institucional. (01/07/2021 - 31/12/2021)</v>
      </c>
      <c r="E35" s="0" t="str">
        <f aca="false">IFERROR(__xludf.dummyfunction("""COMPUTED_VALUE"""),"Se evidencia la caracterización del proceso y procedimientos de comunicaciones en el sistema ALMERA Link: https://sgi.almeraim.com/sgi/secciones/index.php?a=procesos&amp;option=verproceso&amp;procesoid=6221")</f>
        <v>Se evidencia la caracterización del proceso y procedimientos de comunicaciones en el sistema ALMERA Link: https://sgi.almeraim.com/sgi/secciones/index.php?a=procesos&amp;option=verproceso&amp;procesoid=6221</v>
      </c>
      <c r="F35" s="0" t="str">
        <f aca="false">IFERROR(__xludf.dummyfunction("""COMPUTED_VALUE"""),"Completo")</f>
        <v>Completo</v>
      </c>
      <c r="G35" s="0" t="str">
        <f aca="false">IFERROR(__xludf.dummyfunction("""COMPUTED_VALUE"""),"Sí")</f>
        <v>Sí</v>
      </c>
    </row>
    <row r="36" customFormat="false" ht="14.25" hidden="false" customHeight="false" outlineLevel="0" collapsed="false">
      <c r="A36" s="18" t="str">
        <f aca="false">IFERROR(MID(D36,1,FIND("|",D36)-1)&amp;"-"&amp;C36,"")</f>
        <v>AICI202103-11-1-5</v>
      </c>
      <c r="B36" s="19" t="n">
        <f aca="false">IFERROR(__xludf.dummyfunction("""COMPUTED_VALUE"""),44938)</f>
        <v>44938</v>
      </c>
      <c r="C36" s="0" t="n">
        <f aca="false">IFERROR(__xludf.dummyfunction("""COMPUTED_VALUE"""),5)</f>
        <v>5</v>
      </c>
      <c r="D36" s="0" t="str">
        <f aca="false">IFERROR(__xludf.dummyfunction("""COMPUTED_VALUE"""),"AICI202103-11-1| Reformulación del Mapa de Riesgos del proceso. (01/07/2021 - 31/12/2021)")</f>
        <v>AICI202103-11-1| Reformulación del Mapa de Riesgos del proceso. (01/07/2021 - 31/12/2021)</v>
      </c>
      <c r="E36" s="0" t="str">
        <f aca="false">IFERROR(__xludf.dummyfunction("""COMPUTED_VALUE"""),"Se evidencia el levantamiento de los riesgos de gestión para el proceso de comunicaciones.  Pendiente la  publicación de la Matriz de riesgos por parte de la oficina de Desarrollo Institucional.")</f>
        <v>Se evidencia el levantamiento de los riesgos de gestión para el proceso de comunicaciones.  Pendiente la  publicación de la Matriz de riesgos por parte de la oficina de Desarrollo Institucional.</v>
      </c>
      <c r="F36" s="0" t="str">
        <f aca="false">IFERROR(__xludf.dummyfunction("""COMPUTED_VALUE"""),"Completo")</f>
        <v>Completo</v>
      </c>
      <c r="G36" s="0" t="str">
        <f aca="false">IFERROR(__xludf.dummyfunction("""COMPUTED_VALUE"""),"Sí")</f>
        <v>Sí</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1804</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AICI202104-1-1-1</v>
      </c>
      <c r="B4" s="19" t="n">
        <f aca="false">IFERROR(__xludf.dummyfunction("""COMPUTED_VALUE"""),44484)</f>
        <v>44484</v>
      </c>
      <c r="C4" s="0" t="n">
        <f aca="false">IFERROR(__xludf.dummyfunction("""COMPUTED_VALUE"""),1)</f>
        <v>1</v>
      </c>
      <c r="D4" s="0" t="str">
        <f aca="false">IFERROR(__xludf.dummyfunction("""COMPUTED_VALUE"""),"AICI202104-1-1| Parametrizar y normalizar matriz de reubicados y adaptados especificando datos que alimenten la caracterizacion del proceso y facilite el seguimiento medico-laboral (01/06/2021 - 30/09/2021)")</f>
        <v>AICI202104-1-1| Parametrizar y normalizar matriz de reubicados y adaptados especificando datos que alimenten la caracterizacion del proceso y facilite el seguimiento medico-laboral (01/06/2021 - 30/09/2021)</v>
      </c>
      <c r="E4" s="0" t="str">
        <f aca="false">IFERROR(__xludf.dummyfunction("""COMPUTED_VALUE"""),"Se tiene el instrumento  para el registro de las novedades del personal con recomendaciones médicas   para tener un control, esta pendiente la normalización del formato y  establecer parámetros que reduzcan los errores de digitación y registro")</f>
        <v>Se tiene el instrumento  para el registro de las novedades del personal con recomendaciones médicas   para tener un control, esta pendiente la normalización del formato y  establecer parámetros que reduzcan los errores de digitación y registro</v>
      </c>
      <c r="F4" s="0" t="str">
        <f aca="false">IFERROR(__xludf.dummyfunction("""COMPUTED_VALUE"""),"En desarrollo")</f>
        <v>En desarrollo</v>
      </c>
    </row>
    <row r="5" customFormat="false" ht="14.25" hidden="false" customHeight="false" outlineLevel="0" collapsed="false">
      <c r="A5" s="18" t="str">
        <f aca="false">IFERROR(MID(D5,1,FIND("|",D5)-1)&amp;"-"&amp;C5,"")</f>
        <v>AICI202104-2-1-1</v>
      </c>
      <c r="B5" s="19" t="n">
        <f aca="false">IFERROR(__xludf.dummyfunction("""COMPUTED_VALUE"""),44484)</f>
        <v>44484</v>
      </c>
      <c r="C5" s="0" t="n">
        <f aca="false">IFERROR(__xludf.dummyfunction("""COMPUTED_VALUE"""),1)</f>
        <v>1</v>
      </c>
      <c r="D5" s="0" t="str">
        <f aca="false">IFERROR(__xludf.dummyfunction("""COMPUTED_VALUE"""),"AICI202104-2-1| Realizar verificación de la situación de salud a través de los examenes medico ocupacionales periodicos ... (01/06/2021 - 31/10/2021)")</f>
        <v>AICI202104-2-1| Realizar verificación de la situación de salud a través de los examenes medico ocupacionales periodicos ... (01/06/2021 - 31/10/2021)</v>
      </c>
      <c r="E5" s="0" t="str">
        <f aca="false">IFERROR(__xludf.dummyfunction("""COMPUTED_VALUE"""),"Se construye la encuesta  caracterización sociodemográfica y de condiciones de salud  para identificar cubrimiento de las condiciones de salud  a fecha del seguimiento se tienen un cumplimento del  29% de empleados de planta ( 330 contestados) y un 30% de"&amp;" OPS (1666) ( se adjunta reporte de respuestas de encuesta a fecha del seguimiento)")</f>
        <v>Se construye la encuesta  caracterización sociodemográfica y de condiciones de salud  para identificar cubrimiento de las condiciones de salud  a fecha del seguimiento se tienen un cumplimento del  29% de empleados de planta ( 330 contestados) y un 30% de OPS (1666) ( se adjunta reporte de respuestas de encuesta a fecha del seguimiento)</v>
      </c>
      <c r="F5" s="0" t="str">
        <f aca="false">IFERROR(__xludf.dummyfunction("""COMPUTED_VALUE"""),"En desarrollo")</f>
        <v>En desarrollo</v>
      </c>
    </row>
    <row r="6" customFormat="false" ht="14.25" hidden="false" customHeight="false" outlineLevel="0" collapsed="false">
      <c r="A6" s="18" t="str">
        <f aca="false">IFERROR(MID(D6,1,FIND("|",D6)-1)&amp;"-"&amp;C6,"")</f>
        <v>AICI202104-3-1-1</v>
      </c>
      <c r="B6" s="19" t="n">
        <f aca="false">IFERROR(__xludf.dummyfunction("""COMPUTED_VALUE"""),44484)</f>
        <v>44484</v>
      </c>
      <c r="C6" s="0" t="n">
        <f aca="false">IFERROR(__xludf.dummyfunction("""COMPUTED_VALUE"""),1)</f>
        <v>1</v>
      </c>
      <c r="D6" s="0" t="str">
        <f aca="false">IFERROR(__xludf.dummyfunction("""COMPUTED_VALUE"""),"AICI202104-3-1| Realizar la verificación de la documentación vigente aplicable al proceso, realizar la actualización respectiva, eliminando o sustituyendo los documentos obsoletos o no aplicables. (01/06/2021 - 30/11/2021)")</f>
        <v>AICI202104-3-1| Realizar la verificación de la documentación vigente aplicable al proceso, realizar la actualización respectiva, eliminando o sustituyendo los documentos obsoletos o no aplicables. (01/06/2021 - 30/11/2021)</v>
      </c>
      <c r="E6" s="0" t="str">
        <f aca="false">IFERROR(__xludf.dummyfunction("""COMPUTED_VALUE"""),"se realizó depuración de las personas que ya no se encuentran  activas como ( pensionados, retirados entre otros) se esta ahora en la nueva fase solo con los realmente activos para realizar la validación de documentación  se tiene un avance del 97% de car"&amp;"petas se han revisado  cuando se completen el 100% se hará un corte para ser verificadas  por el medico de Salud ocupacional para establecer el estatus real.")</f>
        <v>se realizó depuración de las personas que ya no se encuentran  activas como ( pensionados, retirados entre otros) se esta ahora en la nueva fase solo con los realmente activos para realizar la validación de documentación  se tiene un avance del 97% de carpetas se han revisado  cuando se completen el 100% se hará un corte para ser verificadas  por el medico de Salud ocupacional para establecer el estatus real.</v>
      </c>
      <c r="F6" s="0" t="str">
        <f aca="false">IFERROR(__xludf.dummyfunction("""COMPUTED_VALUE"""),"En desarrollo")</f>
        <v>En desarrollo</v>
      </c>
    </row>
    <row r="7" customFormat="false" ht="14.25" hidden="false" customHeight="false" outlineLevel="0" collapsed="false">
      <c r="A7" s="18" t="str">
        <f aca="false">IFERROR(MID(D7,1,FIND("|",D7)-1)&amp;"-"&amp;C7,"")</f>
        <v>AICI202104-4-1-1</v>
      </c>
      <c r="B7" s="19" t="n">
        <f aca="false">IFERROR(__xludf.dummyfunction("""COMPUTED_VALUE"""),44484)</f>
        <v>44484</v>
      </c>
      <c r="C7" s="0" t="n">
        <f aca="false">IFERROR(__xludf.dummyfunction("""COMPUTED_VALUE"""),1)</f>
        <v>1</v>
      </c>
      <c r="D7" s="0" t="str">
        <f aca="false">IFERROR(__xludf.dummyfunction("""COMPUTED_VALUE"""),"AICI202104-4-1| Verificar las carpetas que contienen las historias clínicas ocupacionales ... (01/06/2021 - 31/12/2021)")</f>
        <v>AICI202104-4-1| Verificar las carpetas que contienen las historias clínicas ocupacionales ... (01/06/2021 - 31/12/2021)</v>
      </c>
      <c r="E7" s="0" t="str">
        <f aca="false">IFERROR(__xludf.dummyfunction("""COMPUTED_VALUE"""),"se realizó depuración de las personas que ya no se encuentran  activas como ( pensionados, retirados entre otros) se esta ahora en la nueva fase solo con los realmente activos para realizar la validación de documentación  se tiene un avance del 97% de car"&amp;"petas se han revisado  cuando se completen el 100% se hará un corte para ser verificadas  por el medico de Salud ocupacional para establecer el estatus real.")</f>
        <v>se realizó depuración de las personas que ya no se encuentran  activas como ( pensionados, retirados entre otros) se esta ahora en la nueva fase solo con los realmente activos para realizar la validación de documentación  se tiene un avance del 97% de carpetas se han revisado  cuando se completen el 100% se hará un corte para ser verificadas  por el medico de Salud ocupacional para establecer el estatus real.</v>
      </c>
      <c r="F7" s="0" t="str">
        <f aca="false">IFERROR(__xludf.dummyfunction("""COMPUTED_VALUE"""),"En desarrollo")</f>
        <v>En desarrollo</v>
      </c>
    </row>
    <row r="8" customFormat="false" ht="14.25" hidden="false" customHeight="false" outlineLevel="0" collapsed="false">
      <c r="A8" s="18" t="str">
        <f aca="false">IFERROR(MID(D8,1,FIND("|",D8)-1)&amp;"-"&amp;C8,"")</f>
        <v>AICI202104-5-1-1</v>
      </c>
      <c r="B8" s="19" t="n">
        <f aca="false">IFERROR(__xludf.dummyfunction("""COMPUTED_VALUE"""),44484)</f>
        <v>44484</v>
      </c>
      <c r="C8" s="0" t="n">
        <f aca="false">IFERROR(__xludf.dummyfunction("""COMPUTED_VALUE"""),1)</f>
        <v>1</v>
      </c>
      <c r="D8" s="0" t="str">
        <f aca="false">IFERROR(__xludf.dummyfunction("""COMPUTED_VALUE"""),"AICI202104-5-1| Aplicar el formato único de inventario documental debidamente diligenciado y actualizado el control de las carpetas de historias médico laborales que se tienen bajo custodia. (01/06/2021 - 31/12/2021)")</f>
        <v>AICI202104-5-1| Aplicar el formato único de inventario documental debidamente diligenciado y actualizado el control de las carpetas de historias médico laborales que se tienen bajo custodia. (01/06/2021 - 31/12/2021)</v>
      </c>
      <c r="E8" s="0" t="str">
        <f aca="false">IFERROR(__xludf.dummyfunction("""COMPUTED_VALUE"""),"SE ha realizado la revisión del 97% de las carpetas y se están actualizando tanto las caratulas como el registro del formato de hoja de control  , se tiene de soporte el documento de las tablas de retención documental ( AP-GI-T-12-01-Dirección de Gestión "&amp;"Talento Humano) como soporte para llevar el control ")</f>
        <v>SE ha realizado la revisión del 97% de las carpetas y se están actualizando tanto las caratulas como el registro del formato de hoja de control  , se tiene de soporte el documento de las tablas de retención documental ( AP-GI-T-12-01-Dirección de Gestión Talento Humano) como soporte para llevar el control </v>
      </c>
      <c r="F8" s="0" t="str">
        <f aca="false">IFERROR(__xludf.dummyfunction("""COMPUTED_VALUE"""),"Completo")</f>
        <v>Completo</v>
      </c>
    </row>
    <row r="9" customFormat="false" ht="14.25" hidden="false" customHeight="false" outlineLevel="0" collapsed="false">
      <c r="A9" s="18" t="str">
        <f aca="false">IFERROR(MID(D9,1,FIND("|",D9)-1)&amp;"-"&amp;C9,"")</f>
        <v>AICI202104-6-1-1</v>
      </c>
      <c r="B9" s="19" t="n">
        <f aca="false">IFERROR(__xludf.dummyfunction("""COMPUTED_VALUE"""),44484)</f>
        <v>44484</v>
      </c>
      <c r="C9" s="0" t="n">
        <f aca="false">IFERROR(__xludf.dummyfunction("""COMPUTED_VALUE"""),1)</f>
        <v>1</v>
      </c>
      <c r="D9" s="0" t="str">
        <f aca="false">IFERROR(__xludf.dummyfunction("""COMPUTED_VALUE"""),"AICI202104-6-1| Definir y construir un conjunto de indicadores evalúen la estructura, el proceso y el resultado de la aplicación del programa de reubicación del talento humano por casos de medicina laboral (01/06/2021 - 30/09/2021)")</f>
        <v>AICI202104-6-1| Definir y construir un conjunto de indicadores evalúen la estructura, el proceso y el resultado de la aplicación del programa de reubicación del talento humano por casos de medicina laboral (01/06/2021 - 30/09/2021)</v>
      </c>
      <c r="E9" s="0" t="str">
        <f aca="false">IFERROR(__xludf.dummyfunction("""COMPUTED_VALUE"""),"esta pendiente el retorno a las actividades del medico Ocupacional que se encuentra incapacitada, se da plazo hasta final de octubre para establecer la construcción de los indicadores")</f>
        <v>esta pendiente el retorno a las actividades del medico Ocupacional que se encuentra incapacitada, se da plazo hasta final de octubre para establecer la construcción de los indicadores</v>
      </c>
      <c r="F9" s="0" t="str">
        <f aca="false">IFERROR(__xludf.dummyfunction("""COMPUTED_VALUE"""),"No iniciado")</f>
        <v>No iniciado</v>
      </c>
    </row>
    <row r="10" customFormat="false" ht="14.25" hidden="false" customHeight="false" outlineLevel="0" collapsed="false">
      <c r="A10" s="18" t="str">
        <f aca="false">IFERROR(MID(D10,1,FIND("|",D10)-1)&amp;"-"&amp;C10,"")</f>
        <v>AICI202104-7-1-1</v>
      </c>
      <c r="B10" s="19" t="n">
        <f aca="false">IFERROR(__xludf.dummyfunction("""COMPUTED_VALUE"""),44484)</f>
        <v>44484</v>
      </c>
      <c r="C10" s="0" t="n">
        <f aca="false">IFERROR(__xludf.dummyfunction("""COMPUTED_VALUE"""),1)</f>
        <v>1</v>
      </c>
      <c r="D10" s="0" t="str">
        <f aca="false">IFERROR(__xludf.dummyfunction("""COMPUTED_VALUE"""),"AICI202104-7-1| Verificar el estado y ubicación actual del personal reubicado o adaptado a través de seguimiento individual y revisión periodica de la evolución de cada caso. (01/06/2021 - 31/12/2021)")</f>
        <v>AICI202104-7-1| Verificar el estado y ubicación actual del personal reubicado o adaptado a través de seguimiento individual y revisión periodica de la evolución de cada caso. (01/06/2021 - 31/12/2021)</v>
      </c>
      <c r="E10" s="0" t="str">
        <f aca="false">IFERROR(__xludf.dummyfunction("""COMPUTED_VALUE"""),"Se va a realizar el cruce de la información que se obtiene de la encuesta socio-demográfica que se esta realizando, además junto con la revisión de las carpetas y revisiones con el médico ocupacional, se podrá identificar el numero de personas del program"&amp;"a y su estado actual de ubicación y condiciones de Salud")</f>
        <v>Se va a realizar el cruce de la información que se obtiene de la encuesta socio-demográfica que se esta realizando, además junto con la revisión de las carpetas y revisiones con el médico ocupacional, se podrá identificar el numero de personas del programa y su estado actual de ubicación y condiciones de Salud</v>
      </c>
      <c r="F10" s="0" t="str">
        <f aca="false">IFERROR(__xludf.dummyfunction("""COMPUTED_VALUE"""),"En desarrollo")</f>
        <v>En desarrollo</v>
      </c>
    </row>
    <row r="11" customFormat="false" ht="14.25" hidden="false" customHeight="false" outlineLevel="0" collapsed="false">
      <c r="A11" s="18" t="str">
        <f aca="false">IFERROR(MID(D11,1,FIND("|",D11)-1)&amp;"-"&amp;C11,"")</f>
        <v>AICI202104-8-1-1</v>
      </c>
      <c r="B11" s="19" t="n">
        <f aca="false">IFERROR(__xludf.dummyfunction("""COMPUTED_VALUE"""),44484)</f>
        <v>44484</v>
      </c>
      <c r="C11" s="0" t="n">
        <f aca="false">IFERROR(__xludf.dummyfunction("""COMPUTED_VALUE"""),1)</f>
        <v>1</v>
      </c>
      <c r="D11" s="0" t="str">
        <f aca="false">IFERROR(__xludf.dummyfunction("""COMPUTED_VALUE"""),"AICI202104-8-1| Realizar seguimiento periodico a las condiciones de salud del personal reubicado y readaptado ... (01/06/2021 - 31/12/2021)")</f>
        <v>AICI202104-8-1| Realizar seguimiento periodico a las condiciones de salud del personal reubicado y readaptado ... (01/06/2021 - 31/12/2021)</v>
      </c>
      <c r="E11" s="0" t="str">
        <f aca="false">IFERROR(__xludf.dummyfunction("""COMPUTED_VALUE"""),"Se debe incorporar la herramienta que permita Realizar seguimiento periódico a las condiciones de salud del personal reubicado y readaptado a través de los sistemas y programas de vigilancia epidemiológica, exámenes médico ocupacionales periódicos ( inclu"&amp;"ir en el instrumento de control la proyección de periodicidad del seguimiento dependiendo de los diagnósticos  particulares)")</f>
        <v>Se debe incorporar la herramienta que permita Realizar seguimiento periódico a las condiciones de salud del personal reubicado y readaptado a través de los sistemas y programas de vigilancia epidemiológica, exámenes médico ocupacionales periódicos ( incluir en el instrumento de control la proyección de periodicidad del seguimiento dependiendo de los diagnósticos  particulares)</v>
      </c>
      <c r="F11" s="0" t="str">
        <f aca="false">IFERROR(__xludf.dummyfunction("""COMPUTED_VALUE"""),"No iniciado")</f>
        <v>No iniciado</v>
      </c>
    </row>
    <row r="12" customFormat="false" ht="14.25" hidden="false" customHeight="false" outlineLevel="0" collapsed="false">
      <c r="A12" s="18" t="str">
        <f aca="false">IFERROR(MID(D12,1,FIND("|",D12)-1)&amp;"-"&amp;C12,"")</f>
        <v>AICI202104-1-1-2</v>
      </c>
      <c r="B12" s="19" t="n">
        <f aca="false">IFERROR(__xludf.dummyfunction("""COMPUTED_VALUE"""),44586)</f>
        <v>44586</v>
      </c>
      <c r="C12" s="0" t="n">
        <f aca="false">IFERROR(__xludf.dummyfunction("""COMPUTED_VALUE"""),2)</f>
        <v>2</v>
      </c>
      <c r="D12" s="0" t="str">
        <f aca="false">IFERROR(__xludf.dummyfunction("""COMPUTED_VALUE"""),"AICI202104-1-1| Parametrizar y normalizar matriz de reubicados y adaptados especificando datos que alimenten la caracterizacion del proceso y facilite el seguimiento medico-laboral (01/06/2021 - 30/09/2021)")</f>
        <v>AICI202104-1-1| Parametrizar y normalizar matriz de reubicados y adaptados especificando datos que alimenten la caracterizacion del proceso y facilite el seguimiento medico-laboral (01/06/2021 - 30/09/2021)</v>
      </c>
      <c r="E12" s="0" t="str">
        <f aca="false">IFERROR(__xludf.dummyfunction("""COMPUTED_VALUE"""),"El instrumento y la base de datos se continúa actualizando y ya permite generar algunas estadísticas, está pendiente  mejorar el diligenciamiento de los campos para reducir errores de digitacion.")</f>
        <v>El instrumento y la base de datos se continúa actualizando y ya permite generar algunas estadísticas, está pendiente  mejorar el diligenciamiento de los campos para reducir errores de digitacion.</v>
      </c>
      <c r="F12" s="0" t="str">
        <f aca="false">IFERROR(__xludf.dummyfunction("""COMPUTED_VALUE"""),"En desarrollo")</f>
        <v>En desarrollo</v>
      </c>
    </row>
    <row r="13" customFormat="false" ht="14.25" hidden="false" customHeight="false" outlineLevel="0" collapsed="false">
      <c r="A13" s="18" t="str">
        <f aca="false">IFERROR(MID(D13,1,FIND("|",D13)-1)&amp;"-"&amp;C13,"")</f>
        <v>AICI202104-2-1-2</v>
      </c>
      <c r="B13" s="19" t="n">
        <f aca="false">IFERROR(__xludf.dummyfunction("""COMPUTED_VALUE"""),44586)</f>
        <v>44586</v>
      </c>
      <c r="C13" s="0" t="n">
        <f aca="false">IFERROR(__xludf.dummyfunction("""COMPUTED_VALUE"""),2)</f>
        <v>2</v>
      </c>
      <c r="D13" s="0" t="str">
        <f aca="false">IFERROR(__xludf.dummyfunction("""COMPUTED_VALUE"""),"AICI202104-2-1| Realizar verificación de la situación de salud a través de los examenes medico ocupacionales periodicos y la aplicación de la encuesta de caracterización sociodemografica y de condiciones de salud para identificar personal reubicado o read"&amp;"aptado. (01/06/2021 - 31/10/2021)")</f>
        <v>AICI202104-2-1| Realizar verificación de la situación de salud a través de los examenes medico ocupacionales periodicos y la aplicación de la encuesta de caracterización sociodemografica y de condiciones de salud para identificar personal reubicado o readaptado. (01/06/2021 - 31/10/2021)</v>
      </c>
      <c r="E13" s="0" t="str">
        <f aca="false">IFERROR(__xludf.dummyfunction("""COMPUTED_VALUE"""),"Después de la realización de la encuesta sociodemográfica, se genera informe con el diagnóstico de salud y un informe de autoreporte de las condiciones lo que muestra un panorama mas actual de las condiciones de salud del TH")</f>
        <v>Después de la realización de la encuesta sociodemográfica, se genera informe con el diagnóstico de salud y un informe de autoreporte de las condiciones lo que muestra un panorama mas actual de las condiciones de salud del TH</v>
      </c>
      <c r="F13" s="0" t="str">
        <f aca="false">IFERROR(__xludf.dummyfunction("""COMPUTED_VALUE"""),"Completo")</f>
        <v>Completo</v>
      </c>
    </row>
    <row r="14" customFormat="false" ht="14.25" hidden="false" customHeight="false" outlineLevel="0" collapsed="false">
      <c r="A14" s="18" t="str">
        <f aca="false">IFERROR(MID(D14,1,FIND("|",D14)-1)&amp;"-"&amp;C14,"")</f>
        <v>AICI202104-3-1-2</v>
      </c>
      <c r="B14" s="19" t="n">
        <f aca="false">IFERROR(__xludf.dummyfunction("""COMPUTED_VALUE"""),44586)</f>
        <v>44586</v>
      </c>
      <c r="C14" s="0" t="n">
        <f aca="false">IFERROR(__xludf.dummyfunction("""COMPUTED_VALUE"""),2)</f>
        <v>2</v>
      </c>
      <c r="D14" s="0" t="str">
        <f aca="false">IFERROR(__xludf.dummyfunction("""COMPUTED_VALUE"""),"AICI202104-3-1| Realizar la verificación de la documentación vigente aplicable al proceso, realizar la actualización respectiva, eliminando o sustituyendo los documentos obsoletos o no aplicables. (01/06/2021 - 30/11/2021)")</f>
        <v>AICI202104-3-1| Realizar la verificación de la documentación vigente aplicable al proceso, realizar la actualización respectiva, eliminando o sustituyendo los documentos obsoletos o no aplicables. (01/06/2021 - 30/11/2021)</v>
      </c>
      <c r="E14" s="0" t="str">
        <f aca="false">IFERROR(__xludf.dummyfunction("""COMPUTED_VALUE"""),"Se continuó con la depuración de las personas que ya no se encuentran activas  dentro de las que están los pensionados, se realizó el trabajo de generar el acta de inventario de la documentación de las carpetas, para las personas que tiene recomendaciones"&amp;" médicas y que están dentro del programa de reubicación. de la misma manera se continúa con la actualización de los documentos  y soportes de los exámenes periódicos así como de los conceptos médicos actualizados.")</f>
        <v>Se continuó con la depuración de las personas que ya no se encuentran activas  dentro de las que están los pensionados, se realizó el trabajo de generar el acta de inventario de la documentación de las carpetas, para las personas que tiene recomendaciones médicas y que están dentro del programa de reubicación. de la misma manera se continúa con la actualización de los documentos  y soportes de los exámenes periódicos así como de los conceptos médicos actualizados.</v>
      </c>
      <c r="F14" s="0" t="str">
        <f aca="false">IFERROR(__xludf.dummyfunction("""COMPUTED_VALUE"""),"Completo")</f>
        <v>Completo</v>
      </c>
    </row>
    <row r="15" customFormat="false" ht="14.25" hidden="false" customHeight="false" outlineLevel="0" collapsed="false">
      <c r="A15" s="18" t="str">
        <f aca="false">IFERROR(MID(D15,1,FIND("|",D15)-1)&amp;"-"&amp;C15,"")</f>
        <v>AICI202104-4-1-2</v>
      </c>
      <c r="B15" s="19" t="n">
        <f aca="false">IFERROR(__xludf.dummyfunction("""COMPUTED_VALUE"""),44586)</f>
        <v>44586</v>
      </c>
      <c r="C15" s="0" t="n">
        <f aca="false">IFERROR(__xludf.dummyfunction("""COMPUTED_VALUE"""),2)</f>
        <v>2</v>
      </c>
      <c r="D15" s="0" t="str">
        <f aca="false">IFERROR(__xludf.dummyfunction("""COMPUTED_VALUE"""),"AICI202104-4-1| Verificar las carpetas que contienen las historias clínicas ocupacionales y realizar la actualización del contenido con los soportes faltantes de conformidad con lo indicado en los articulos 14 y 15 de la Resolución 2346 de 2007 ""Por la c"&amp;"ual se regula la práctica de evaluaciones médicas ocupacionales y el manejo y contenido de las historias clínicas ocupacionales."" (01/06/2021 - 31/12/2021)")</f>
        <v>AICI202104-4-1| Verificar las carpetas que contienen las historias clínicas ocupacionales y realizar la actualización del contenido con los soportes faltantes de conformidad con lo indicado en los articulos 14 y 15 de la Resolución 2346 de 2007 "Por la cual se regula la práctica de evaluaciones médicas ocupacionales y el manejo y contenido de las historias clínicas ocupacionales." (01/06/2021 - 31/12/2021)</v>
      </c>
      <c r="E15" s="0" t="str">
        <f aca="false">IFERROR(__xludf.dummyfunction("""COMPUTED_VALUE"""),"Se continuó con la depuración de las personas que ya no se encuentran activas  dentro de las que están los pensionados, se realizó el trabajo de generar el acta de inventario de la documentación de las carpetas, para las personas que tiene recomendaciones"&amp;" médicas y que están dentro del programa de reubicación. de la misma manera se continúa con la actualización de los documentos  y soportes de los exámenes periódicos así como de los conceptos médicos actualizados.")</f>
        <v>Se continuó con la depuración de las personas que ya no se encuentran activas  dentro de las que están los pensionados, se realizó el trabajo de generar el acta de inventario de la documentación de las carpetas, para las personas que tiene recomendaciones médicas y que están dentro del programa de reubicación. de la misma manera se continúa con la actualización de los documentos  y soportes de los exámenes periódicos así como de los conceptos médicos actualizados.</v>
      </c>
      <c r="F15" s="0" t="str">
        <f aca="false">IFERROR(__xludf.dummyfunction("""COMPUTED_VALUE"""),"Completo")</f>
        <v>Completo</v>
      </c>
    </row>
    <row r="16" customFormat="false" ht="14.25" hidden="false" customHeight="false" outlineLevel="0" collapsed="false">
      <c r="A16" s="18" t="str">
        <f aca="false">IFERROR(MID(D16,1,FIND("|",D16)-1)&amp;"-"&amp;C16,"")</f>
        <v>AICI202104-5-1-2</v>
      </c>
      <c r="B16" s="19" t="n">
        <f aca="false">IFERROR(__xludf.dummyfunction("""COMPUTED_VALUE"""),44586)</f>
        <v>44586</v>
      </c>
      <c r="C16" s="0" t="n">
        <f aca="false">IFERROR(__xludf.dummyfunction("""COMPUTED_VALUE"""),2)</f>
        <v>2</v>
      </c>
      <c r="D16" s="0" t="str">
        <f aca="false">IFERROR(__xludf.dummyfunction("""COMPUTED_VALUE"""),"AICI202104-5-1| Aplicar el formato único de inventario documental debidamente diligenciado y actualizado el control de las carpetas de historias médico laborales que se tienen bajo custodia. (01/06/2021 - 31/12/2021)")</f>
        <v>AICI202104-5-1| Aplicar el formato único de inventario documental debidamente diligenciado y actualizado el control de las carpetas de historias médico laborales que se tienen bajo custodia. (01/06/2021 - 31/12/2021)</v>
      </c>
      <c r="E16" s="0" t="str">
        <f aca="false">IFERROR(__xludf.dummyfunction("""COMPUTED_VALUE"""),"Esta actividad Se encuentra completa desde el seguimiento anterior")</f>
        <v>Esta actividad Se encuentra completa desde el seguimiento anterior</v>
      </c>
      <c r="F16" s="0" t="str">
        <f aca="false">IFERROR(__xludf.dummyfunction("""COMPUTED_VALUE"""),"Completo")</f>
        <v>Completo</v>
      </c>
    </row>
    <row r="17" customFormat="false" ht="14.25" hidden="false" customHeight="false" outlineLevel="0" collapsed="false">
      <c r="A17" s="18" t="str">
        <f aca="false">IFERROR(MID(D17,1,FIND("|",D17)-1)&amp;"-"&amp;C17,"")</f>
        <v>AICI202104-6-1-2</v>
      </c>
      <c r="B17" s="19" t="n">
        <f aca="false">IFERROR(__xludf.dummyfunction("""COMPUTED_VALUE"""),44586)</f>
        <v>44586</v>
      </c>
      <c r="C17" s="0" t="n">
        <f aca="false">IFERROR(__xludf.dummyfunction("""COMPUTED_VALUE"""),2)</f>
        <v>2</v>
      </c>
      <c r="D17" s="0" t="str">
        <f aca="false">IFERROR(__xludf.dummyfunction("""COMPUTED_VALUE"""),"AICI202104-6-1| Definir y construir un conjunto de indicadores evalúen la estructura, el proceso y el resultado de la aplicación del programa de reubicación del talento humano por casos de medicina laboral (01/06/2021 - 30/09/2021)")</f>
        <v>AICI202104-6-1| Definir y construir un conjunto de indicadores evalúen la estructura, el proceso y el resultado de la aplicación del programa de reubicación del talento humano por casos de medicina laboral (01/06/2021 - 30/09/2021)</v>
      </c>
      <c r="E17" s="0" t="str">
        <f aca="false">IFERROR(__xludf.dummyfunction("""COMPUTED_VALUE"""),"Se  tiene avance frente el diseño de los indicadores y la metodología para el seguimiento y control del programa de reubicación  está pendiente la revisión y  aprobación")</f>
        <v>Se  tiene avance frente el diseño de los indicadores y la metodología para el seguimiento y control del programa de reubicación  está pendiente la revisión y  aprobación</v>
      </c>
      <c r="F17" s="0" t="str">
        <f aca="false">IFERROR(__xludf.dummyfunction("""COMPUTED_VALUE"""),"Atrasado")</f>
        <v>Atrasado</v>
      </c>
    </row>
    <row r="18" customFormat="false" ht="14.25" hidden="false" customHeight="false" outlineLevel="0" collapsed="false">
      <c r="A18" s="18" t="str">
        <f aca="false">IFERROR(MID(D18,1,FIND("|",D18)-1)&amp;"-"&amp;C18,"")</f>
        <v>AICI202104-7-1-2</v>
      </c>
      <c r="B18" s="19" t="n">
        <f aca="false">IFERROR(__xludf.dummyfunction("""COMPUTED_VALUE"""),44586)</f>
        <v>44586</v>
      </c>
      <c r="C18" s="0" t="n">
        <f aca="false">IFERROR(__xludf.dummyfunction("""COMPUTED_VALUE"""),2)</f>
        <v>2</v>
      </c>
      <c r="D18" s="0" t="str">
        <f aca="false">IFERROR(__xludf.dummyfunction("""COMPUTED_VALUE"""),"AICI202104-7-1| Verificar el estado y ubicación actual del personal reubicado o adaptado a través de seguimiento individual y revisión periodica de la evolución de cada caso. (01/06/2021 - 31/12/2021)")</f>
        <v>AICI202104-7-1| Verificar el estado y ubicación actual del personal reubicado o adaptado a través de seguimiento individual y revisión periodica de la evolución de cada caso. (01/06/2021 - 31/12/2021)</v>
      </c>
      <c r="E18" s="0" t="str">
        <f aca="false">IFERROR(__xludf.dummyfunction("""COMPUTED_VALUE"""),"Se está implementado la base de datos para la incorporación del programa, se está revisando la caracterización de los casos y esta pendiente la consolidación de la información para poder tener el dato  exacto de las personas del programa y mantener actual"&amp;"izada esta información")</f>
        <v>Se está implementado la base de datos para la incorporación del programa, se está revisando la caracterización de los casos y esta pendiente la consolidación de la información para poder tener el dato  exacto de las personas del programa y mantener actualizada esta información</v>
      </c>
      <c r="F18" s="0" t="str">
        <f aca="false">IFERROR(__xludf.dummyfunction("""COMPUTED_VALUE"""),"En desarrollo")</f>
        <v>En desarrollo</v>
      </c>
    </row>
    <row r="19" customFormat="false" ht="14.25" hidden="false" customHeight="false" outlineLevel="0" collapsed="false">
      <c r="A19" s="18" t="str">
        <f aca="false">IFERROR(MID(D19,1,FIND("|",D19)-1)&amp;"-"&amp;C19,"")</f>
        <v>AICI202104-8-1-2</v>
      </c>
      <c r="B19" s="19" t="n">
        <f aca="false">IFERROR(__xludf.dummyfunction("""COMPUTED_VALUE"""),44586)</f>
        <v>44586</v>
      </c>
      <c r="C19" s="0" t="n">
        <f aca="false">IFERROR(__xludf.dummyfunction("""COMPUTED_VALUE"""),2)</f>
        <v>2</v>
      </c>
      <c r="D19" s="0" t="str">
        <f aca="false">IFERROR(__xludf.dummyfunction("""COMPUTED_VALUE"""),"AICI202104-8-1| Realizar seguimiento periodico a las condiciones de salud del personal reubicado y readaptado a través de los sistemas y programas de vigilancia epidemiologica, examenes médico ocupacionals periodicos y la aplicación de la encuesta de cara"&amp;"cterización sociodemografica y de condiciones de salud (01/06/2021 - 31/12/2021)")</f>
        <v>AICI202104-8-1| Realizar seguimiento periodico a las condiciones de salud del personal reubicado y readaptado a través de los sistemas y programas de vigilancia epidemiologica, examenes médico ocupacionals periodicos y la aplicación de la encuesta de caracterización sociodemografica y de condiciones de salud (01/06/2021 - 31/12/2021)</v>
      </c>
      <c r="E19" s="0" t="str">
        <f aca="false">IFERROR(__xludf.dummyfunction("""COMPUTED_VALUE"""),"Se está desarrollando la consolidación de la información mediante la base de datos de registros de las personas con recomendaciones médicas, junto con la caracterización  y los diagnósticos médicos realizados por la médico laboral,  para la implementación"&amp;" de la herramienta de seguimiento de los exámenes médicos , ya se tiene un avance en la programación de estos exámenes pero aún hay que consolidarlo. ")</f>
        <v>Se está desarrollando la consolidación de la información mediante la base de datos de registros de las personas con recomendaciones médicas, junto con la caracterización  y los diagnósticos médicos realizados por la médico laboral,  para la implementación de la herramienta de seguimiento de los exámenes médicos , ya se tiene un avance en la programación de estos exámenes pero aún hay que consolidarlo. </v>
      </c>
      <c r="F19" s="0" t="str">
        <f aca="false">IFERROR(__xludf.dummyfunction("""COMPUTED_VALUE"""),"En desarrollo")</f>
        <v>En desarrollo</v>
      </c>
    </row>
    <row r="20" customFormat="false" ht="14.25" hidden="false" customHeight="false" outlineLevel="0" collapsed="false">
      <c r="A20" s="18" t="str">
        <f aca="false">IFERROR(MID(D20,1,FIND("|",D20)-1)&amp;"-"&amp;C20,"")</f>
        <v>AICI202104-6-1-3</v>
      </c>
      <c r="B20" s="19" t="n">
        <f aca="false">IFERROR(__xludf.dummyfunction("""COMPUTED_VALUE"""),44659)</f>
        <v>44659</v>
      </c>
      <c r="C20" s="0" t="n">
        <f aca="false">IFERROR(__xludf.dummyfunction("""COMPUTED_VALUE"""),3)</f>
        <v>3</v>
      </c>
      <c r="D20" s="0" t="str">
        <f aca="false">IFERROR(__xludf.dummyfunction("""COMPUTED_VALUE"""),"AICI202104-6-1| Definir y construir un conjunto de indicadores evalúen la estructura, el proceso y el resultado de la aplicación del programa de reubicación del talento humano por casos de medicina laboral (01/06/2021 - 30/09/2021)")</f>
        <v>AICI202104-6-1| Definir y construir un conjunto de indicadores evalúen la estructura, el proceso y el resultado de la aplicación del programa de reubicación del talento humano por casos de medicina laboral (01/06/2021 - 30/09/2021)</v>
      </c>
      <c r="E20" s="0" t="str">
        <f aca="false">IFERROR(__xludf.dummyfunction("""COMPUTED_VALUE"""),"Los indicadores establecidos para el seguimiento y control   del programa serán:
Estructura (Detección):
# de casos que ingresan al programa  X 100
#total de trabajadores considerados casos probables.
Resultados (Impacto):
Efectividad:
#de casos adaptados"&amp;" x 100
# # de casos que ingresan al programa
Exitoso:
#de casos ingresados que se cerraron x 100
# de casos ingresados al programa-  La formalización de dichos incadores están pendientes")</f>
        <v>Los indicadores establecidos para el seguimiento y control   del programa serán:
Estructura (Detección):
# de casos que ingresan al programa  X 100
#total de trabajadores considerados casos probables.
Resultados (Impacto):
Efectividad:
#de casos adaptados x 100
# # de casos que ingresan al programa
Exitoso:
#de casos ingresados que se cerraron x 100
# de casos ingresados al programa-  La formalización de dichos incadores están pendientes</v>
      </c>
      <c r="F20" s="0" t="str">
        <f aca="false">IFERROR(__xludf.dummyfunction("""COMPUTED_VALUE"""),"Atrasado")</f>
        <v>Atrasado</v>
      </c>
    </row>
    <row r="21" customFormat="false" ht="14.25" hidden="false" customHeight="false" outlineLevel="0" collapsed="false">
      <c r="A21" s="18" t="str">
        <f aca="false">IFERROR(MID(D21,1,FIND("|",D21)-1)&amp;"-"&amp;C21,"")</f>
        <v>AICI202104-1-1-3</v>
      </c>
      <c r="B21" s="19" t="n">
        <f aca="false">IFERROR(__xludf.dummyfunction("""COMPUTED_VALUE"""),44659)</f>
        <v>44659</v>
      </c>
      <c r="C21" s="0" t="n">
        <f aca="false">IFERROR(__xludf.dummyfunction("""COMPUTED_VALUE"""),3)</f>
        <v>3</v>
      </c>
      <c r="D21" s="0" t="str">
        <f aca="false">IFERROR(__xludf.dummyfunction("""COMPUTED_VALUE"""),"AICI202104-1-1| Parametrizar y normalizar matriz de reubicados y adaptados especificando datos que alimenten la caracterizacion del proceso y facilite el seguimiento medico-laboral (01/06/2021 - 30/09/2021)")</f>
        <v>AICI202104-1-1| Parametrizar y normalizar matriz de reubicados y adaptados especificando datos que alimenten la caracterizacion del proceso y facilite el seguimiento medico-laboral (01/06/2021 - 30/09/2021)</v>
      </c>
      <c r="E21" s="0" t="str">
        <f aca="false">IFERROR(__xludf.dummyfunction("""COMPUTED_VALUE"""),"En el instrumento (Matriz De Excel) del registros de la base de datos de las personas que se encuentran en el programa de Reubicación y adaptación de puestos de trabajo continua en actualización y se evidencia aun errores consolidación de información.")</f>
        <v>En el instrumento (Matriz De Excel) del registros de la base de datos de las personas que se encuentran en el programa de Reubicación y adaptación de puestos de trabajo continua en actualización y se evidencia aun errores consolidación de información.</v>
      </c>
      <c r="F21" s="0" t="str">
        <f aca="false">IFERROR(__xludf.dummyfunction("""COMPUTED_VALUE"""),"Atrasado")</f>
        <v>Atrasado</v>
      </c>
    </row>
    <row r="22" customFormat="false" ht="14.25" hidden="false" customHeight="false" outlineLevel="0" collapsed="false">
      <c r="A22" s="18" t="str">
        <f aca="false">IFERROR(MID(D22,1,FIND("|",D22)-1)&amp;"-"&amp;C22,"")</f>
        <v>AICI202104-7-1-3</v>
      </c>
      <c r="B22" s="19" t="n">
        <f aca="false">IFERROR(__xludf.dummyfunction("""COMPUTED_VALUE"""),44659)</f>
        <v>44659</v>
      </c>
      <c r="C22" s="0" t="n">
        <f aca="false">IFERROR(__xludf.dummyfunction("""COMPUTED_VALUE"""),3)</f>
        <v>3</v>
      </c>
      <c r="D22" s="0" t="str">
        <f aca="false">IFERROR(__xludf.dummyfunction("""COMPUTED_VALUE"""),"AICI202104-7-1| Verificar el estado y ubicación actual del personal reubicado o adaptado a través de seguimiento individual y revisión periodica de la evolución de cada caso. (01/06/2021 - 31/12/2021)")</f>
        <v>AICI202104-7-1| Verificar el estado y ubicación actual del personal reubicado o adaptado a través de seguimiento individual y revisión periodica de la evolución de cada caso. (01/06/2021 - 31/12/2021)</v>
      </c>
      <c r="E22" s="0" t="str">
        <f aca="false">IFERROR(__xludf.dummyfunction("""COMPUTED_VALUE"""),"Se continua en  la implementación de la base de datos para la incorporación del programa, se está revisando la caracterización de los casos y de acuerdo a esta consolidación de la información se tendrán datos  exactos de las personas del programa y manten"&amp;"er actualizada esta información")</f>
        <v>Se continua en  la implementación de la base de datos para la incorporación del programa, se está revisando la caracterización de los casos y de acuerdo a esta consolidación de la información se tendrán datos  exactos de las personas del programa y mantener actualizada esta información</v>
      </c>
      <c r="F22" s="0" t="str">
        <f aca="false">IFERROR(__xludf.dummyfunction("""COMPUTED_VALUE"""),"Atrasado")</f>
        <v>Atrasado</v>
      </c>
    </row>
    <row r="23" customFormat="false" ht="14.25" hidden="false" customHeight="false" outlineLevel="0" collapsed="false">
      <c r="A23" s="18" t="str">
        <f aca="false">IFERROR(MID(D23,1,FIND("|",D23)-1)&amp;"-"&amp;C23,"")</f>
        <v>AICI202104-8-1-3</v>
      </c>
      <c r="B23" s="19" t="n">
        <f aca="false">IFERROR(__xludf.dummyfunction("""COMPUTED_VALUE"""),44659)</f>
        <v>44659</v>
      </c>
      <c r="C23" s="0" t="n">
        <f aca="false">IFERROR(__xludf.dummyfunction("""COMPUTED_VALUE"""),3)</f>
        <v>3</v>
      </c>
      <c r="D23" s="0" t="str">
        <f aca="false">IFERROR(__xludf.dummyfunction("""COMPUTED_VALUE"""),"AICI202104-8-1| Realizar seguimiento periodico a las condiciones de salud del personal reubicado y readaptado a través de los sistemas y programas de vigilancia epidemiologica, examenes médico ocupacionals periodicos y la aplicación de la encuesta de cara"&amp;"cterización sociodemografica y de condiciones de salud (01/06/2021 - 31/12/2021)")</f>
        <v>AICI202104-8-1| Realizar seguimiento periodico a las condiciones de salud del personal reubicado y readaptado a través de los sistemas y programas de vigilancia epidemiologica, examenes médico ocupacionals periodicos y la aplicación de la encuesta de caracterización sociodemografica y de condiciones de salud (01/06/2021 - 31/12/2021)</v>
      </c>
      <c r="E23" s="0" t="str">
        <f aca="false">IFERROR(__xludf.dummyfunction("""COMPUTED_VALUE"""),"Se continua en el desarrollando de la consolidación de la información mediante la base de datos de registros de las personas con recomendaciones médicas, la caracterización  y los diagnósticos médicos  para el seguimiento  en la programación de estos exám"&amp;"enes.")</f>
        <v>Se continua en el desarrollando de la consolidación de la información mediante la base de datos de registros de las personas con recomendaciones médicas, la caracterización  y los diagnósticos médicos  para el seguimiento  en la programación de estos exámenes.</v>
      </c>
      <c r="F23" s="0" t="str">
        <f aca="false">IFERROR(__xludf.dummyfunction("""COMPUTED_VALUE"""),"Atrasado")</f>
        <v>Atrasado</v>
      </c>
    </row>
    <row r="24" customFormat="false" ht="14.25" hidden="false" customHeight="false" outlineLevel="0" collapsed="false">
      <c r="A24" s="18" t="str">
        <f aca="false">IFERROR(MID(D24,1,FIND("|",D24)-1)&amp;"-"&amp;C24,"")</f>
        <v>AICI202104-1-1-4</v>
      </c>
      <c r="B24" s="19" t="n">
        <f aca="false">IFERROR(__xludf.dummyfunction("""COMPUTED_VALUE"""),44748)</f>
        <v>44748</v>
      </c>
      <c r="C24" s="0" t="n">
        <f aca="false">IFERROR(__xludf.dummyfunction("""COMPUTED_VALUE"""),4)</f>
        <v>4</v>
      </c>
      <c r="D24" s="0" t="str">
        <f aca="false">IFERROR(__xludf.dummyfunction("""COMPUTED_VALUE"""),"AICI202104-1-1| Parametrizar y normalizar matriz de reubicados y adaptados especificando datos que alimenten la caracterizacion del proceso y facilite el seguimiento medico-laboral (01/06/2021 - 30/09/2021)")</f>
        <v>AICI202104-1-1| Parametrizar y normalizar matriz de reubicados y adaptados especificando datos que alimenten la caracterizacion del proceso y facilite el seguimiento medico-laboral (01/06/2021 - 30/09/2021)</v>
      </c>
      <c r="E24" s="0" t="str">
        <f aca="false">IFERROR(__xludf.dummyfunction("""COMPUTED_VALUE"""),"El instrumento matriz de la base de datos se ajustó con los criterios que son útiles para la gestión del programa ( se adjunta Base sin datos específicos de personas)")</f>
        <v>El instrumento matriz de la base de datos se ajustó con los criterios que son útiles para la gestión del programa ( se adjunta Base sin datos específicos de personas)</v>
      </c>
      <c r="F24" s="0" t="str">
        <f aca="false">IFERROR(__xludf.dummyfunction("""COMPUTED_VALUE"""),"Completo")</f>
        <v>Completo</v>
      </c>
      <c r="G24" s="0" t="str">
        <f aca="false">IFERROR(__xludf.dummyfunction("""COMPUTED_VALUE"""),"Sí")</f>
        <v>Sí</v>
      </c>
    </row>
    <row r="25" customFormat="false" ht="14.25" hidden="false" customHeight="false" outlineLevel="0" collapsed="false">
      <c r="A25" s="18" t="str">
        <f aca="false">IFERROR(MID(D25,1,FIND("|",D25)-1)&amp;"-"&amp;C25,"")</f>
        <v>AICI202104-6-1-4</v>
      </c>
      <c r="B25" s="19" t="n">
        <f aca="false">IFERROR(__xludf.dummyfunction("""COMPUTED_VALUE"""),44748)</f>
        <v>44748</v>
      </c>
      <c r="C25" s="0" t="n">
        <f aca="false">IFERROR(__xludf.dummyfunction("""COMPUTED_VALUE"""),4)</f>
        <v>4</v>
      </c>
      <c r="D25" s="0" t="str">
        <f aca="false">IFERROR(__xludf.dummyfunction("""COMPUTED_VALUE"""),"AICI202104-6-1| Definir y construir un conjunto de indicadores evalúen la estructura, el proceso y el resultado de la aplicación del programa de reubicación del talento humano por casos de medicina laboral (01/06/2021 - 30/09/2021)")</f>
        <v>AICI202104-6-1| Definir y construir un conjunto de indicadores evalúen la estructura, el proceso y el resultado de la aplicación del programa de reubicación del talento humano por casos de medicina laboral (01/06/2021 - 30/09/2021)</v>
      </c>
      <c r="E25" s="0" t="str">
        <f aca="false">IFERROR(__xludf.dummyfunction("""COMPUTED_VALUE"""),"los indicadores ya se están  montando en las fichas correspondientes  version actual (ES-GE-F-01-10) y se espera tener información semestral) se debe realizar una análisis nuevamente con ARL para verificar asesoría y lograr establecer  la adecuada formula"&amp;"ción de los indicadores ")</f>
        <v>los indicadores ya se están  montando en las fichas correspondientes  version actual (ES-GE-F-01-10) y se espera tener información semestral) se debe realizar una análisis nuevamente con ARL para verificar asesoría y lograr establecer  la adecuada formulación de los indicadores </v>
      </c>
      <c r="F25" s="0" t="str">
        <f aca="false">IFERROR(__xludf.dummyfunction("""COMPUTED_VALUE"""),"Atrasado")</f>
        <v>Atrasado</v>
      </c>
    </row>
    <row r="26" customFormat="false" ht="14.25" hidden="false" customHeight="false" outlineLevel="0" collapsed="false">
      <c r="A26" s="18" t="str">
        <f aca="false">IFERROR(MID(D26,1,FIND("|",D26)-1)&amp;"-"&amp;C26,"")</f>
        <v>AICI202104-7-1-4</v>
      </c>
      <c r="B26" s="19" t="n">
        <f aca="false">IFERROR(__xludf.dummyfunction("""COMPUTED_VALUE"""),44748)</f>
        <v>44748</v>
      </c>
      <c r="C26" s="0" t="n">
        <f aca="false">IFERROR(__xludf.dummyfunction("""COMPUTED_VALUE"""),4)</f>
        <v>4</v>
      </c>
      <c r="D26" s="0" t="str">
        <f aca="false">IFERROR(__xludf.dummyfunction("""COMPUTED_VALUE"""),"AICI202104-7-1| Verificar el estado y ubicación actual del personal reubicado o adaptado a través de seguimiento individual y revisión periodica de la evolución de cada caso. (01/06/2021 - 31/12/2021)")</f>
        <v>AICI202104-7-1| Verificar el estado y ubicación actual del personal reubicado o adaptado a través de seguimiento individual y revisión periodica de la evolución de cada caso. (01/06/2021 - 31/12/2021)</v>
      </c>
      <c r="E26" s="0" t="str">
        <f aca="false">IFERROR(__xludf.dummyfunction("""COMPUTED_VALUE"""),"Se tiene el instrumento (matriz de la base de datos se ajustó con criterios que son útiles para la gestión del programa  se adjunta la base sin datos específicos de personas) Se evidencia que la base está funcional y permite sacar datos específicos de seg"&amp;"uimiento y ubicación de los casos de las personas del programa")</f>
        <v>Se tiene el instrumento (matriz de la base de datos se ajustó con criterios que son útiles para la gestión del programa  se adjunta la base sin datos específicos de personas) Se evidencia que la base está funcional y permite sacar datos específicos de seguimiento y ubicación de los casos de las personas del programa</v>
      </c>
      <c r="F26" s="0" t="str">
        <f aca="false">IFERROR(__xludf.dummyfunction("""COMPUTED_VALUE"""),"Completo")</f>
        <v>Completo</v>
      </c>
      <c r="G26" s="0" t="str">
        <f aca="false">IFERROR(__xludf.dummyfunction("""COMPUTED_VALUE"""),"Sí")</f>
        <v>Sí</v>
      </c>
    </row>
    <row r="27" customFormat="false" ht="14.25" hidden="false" customHeight="false" outlineLevel="0" collapsed="false">
      <c r="A27" s="18" t="str">
        <f aca="false">IFERROR(MID(D27,1,FIND("|",D27)-1)&amp;"-"&amp;C27,"")</f>
        <v>AICI202104-8-1-4</v>
      </c>
      <c r="B27" s="19" t="n">
        <f aca="false">IFERROR(__xludf.dummyfunction("""COMPUTED_VALUE"""),44748)</f>
        <v>44748</v>
      </c>
      <c r="C27" s="0" t="n">
        <f aca="false">IFERROR(__xludf.dummyfunction("""COMPUTED_VALUE"""),4)</f>
        <v>4</v>
      </c>
      <c r="D27" s="0" t="str">
        <f aca="false">IFERROR(__xludf.dummyfunction("""COMPUTED_VALUE"""),"AICI202104-8-1| Realizar seguimiento periodico a las condiciones de salud del personal reubicado y readaptado a través de los sistemas y programas de vigilancia epidemiologica, examenes médico ocupacionals periodicos y la aplicación de la encuesta de cara"&amp;"cterización sociodemografica y de condiciones de salud (01/06/2021 - 31/12/2021)")</f>
        <v>AICI202104-8-1| Realizar seguimiento periodico a las condiciones de salud del personal reubicado y readaptado a través de los sistemas y programas de vigilancia epidemiologica, examenes médico ocupacionals periodicos y la aplicación de la encuesta de caracterización sociodemografica y de condiciones de salud (01/06/2021 - 31/12/2021)</v>
      </c>
      <c r="E27" s="0" t="str">
        <f aca="false">IFERROR(__xludf.dummyfunction("""COMPUTED_VALUE"""),"El seguimiento se realiza mediante el instrumento (matriz de la base de datos  ya presenta un semaforización que permite identificar  frecuencia de los exámenes periódicos con criterios que son útiles para la gestión del programa ( se adjuntan  algunos co"&amp;"rreos de programación y agendamiento de de citas a los exámenes periódicos)")</f>
        <v>El seguimiento se realiza mediante el instrumento (matriz de la base de datos  ya presenta un semaforización que permite identificar  frecuencia de los exámenes periódicos con criterios que son útiles para la gestión del programa ( se adjuntan  algunos correos de programación y agendamiento de de citas a los exámenes periódicos)</v>
      </c>
      <c r="F27" s="0" t="str">
        <f aca="false">IFERROR(__xludf.dummyfunction("""COMPUTED_VALUE"""),"Completo")</f>
        <v>Completo</v>
      </c>
      <c r="G27" s="0" t="str">
        <f aca="false">IFERROR(__xludf.dummyfunction("""COMPUTED_VALUE"""),"Sí")</f>
        <v>Sí</v>
      </c>
    </row>
    <row r="28" customFormat="false" ht="14.25" hidden="false" customHeight="false" outlineLevel="0" collapsed="false">
      <c r="A28" s="18" t="str">
        <f aca="false">IFERROR(MID(D28,1,FIND("|",D28)-1)&amp;"-"&amp;C28,"")</f>
        <v>AICI202104-6-1-5</v>
      </c>
      <c r="B28" s="19" t="n">
        <f aca="false">IFERROR(__xludf.dummyfunction("""COMPUTED_VALUE"""),44841)</f>
        <v>44841</v>
      </c>
      <c r="C28" s="0" t="n">
        <f aca="false">IFERROR(__xludf.dummyfunction("""COMPUTED_VALUE"""),5)</f>
        <v>5</v>
      </c>
      <c r="D28" s="0" t="str">
        <f aca="false">IFERROR(__xludf.dummyfunction("""COMPUTED_VALUE"""),"AICI202104-6-1| Definir y construir un conjunto de indicadores evalúen la estructura, el proceso y el resultado de la aplicación del programa de reubicación del talento humano por casos de medicina laboral (01/06/2021 - 30/09/2021)")</f>
        <v>AICI202104-6-1| Definir y construir un conjunto de indicadores evalúen la estructura, el proceso y el resultado de la aplicación del programa de reubicación del talento humano por casos de medicina laboral (01/06/2021 - 30/09/2021)</v>
      </c>
      <c r="E28" s="0" t="str">
        <f aca="false">IFERROR(__xludf.dummyfunction("""COMPUTED_VALUE"""),"Se creo el indicador de Detección Reintegro Laboral y el de Cobertura Reincorporación con adaptación, se hizo seguimiento mensualmente desde enero a junio de 2022.")</f>
        <v>Se creo el indicador de Detección Reintegro Laboral y el de Cobertura Reincorporación con adaptación, se hizo seguimiento mensualmente desde enero a junio de 2022.</v>
      </c>
      <c r="F28" s="0" t="str">
        <f aca="false">IFERROR(__xludf.dummyfunction("""COMPUTED_VALUE"""),"Completo")</f>
        <v>Completo</v>
      </c>
      <c r="G28" s="0" t="str">
        <f aca="false">IFERROR(__xludf.dummyfunction("""COMPUTED_VALUE"""),"Sí")</f>
        <v>Sí</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sheetData>
    <row r="1" customFormat="false" ht="12.75" hidden="false" customHeight="false" outlineLevel="0" collapsed="false">
      <c r="A1" s="13" t="s">
        <v>1805</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AICI202105-3-1-1</v>
      </c>
      <c r="B4" s="19" t="n">
        <f aca="false">IFERROR(__xludf.dummyfunction("""COMPUTED_VALUE"""),44579)</f>
        <v>44579</v>
      </c>
      <c r="C4" s="0" t="n">
        <f aca="false">IFERROR(__xludf.dummyfunction("""COMPUTED_VALUE"""),1)</f>
        <v>1</v>
      </c>
      <c r="D4" s="0" t="str">
        <f aca="false">IFERROR(__xludf.dummyfunction("""COMPUTED_VALUE"""),"AICI202105-3-1| Realizar capacitación específica en Prácticas Seguras para la prevención de la ocurrencia de los eventos adversos más frecuentes en apoyo con personal asistencial. (01/10/2021 - 15/12/2021)")</f>
        <v>AICI202105-3-1| Realizar capacitación específica en Prácticas Seguras para la prevención de la ocurrencia de los eventos adversos más frecuentes en apoyo con personal asistencial. (01/10/2021 - 15/12/2021)</v>
      </c>
      <c r="E4" s="0" t="str">
        <f aca="false">IFERROR(__xludf.dummyfunction("""COMPUTED_VALUE"""),"Se anexan  actas de capacitación en las diferentes sedes de los meses de Octubre, Noviembre y Diciembre 2021")</f>
        <v>Se anexan  actas de capacitación en las diferentes sedes de los meses de Octubre, Noviembre y Diciembre 2021</v>
      </c>
      <c r="F4" s="0" t="str">
        <f aca="false">IFERROR(__xludf.dummyfunction("""COMPUTED_VALUE"""),"Completo")</f>
        <v>Completo</v>
      </c>
    </row>
    <row r="5" customFormat="false" ht="14.25" hidden="false" customHeight="false" outlineLevel="0" collapsed="false">
      <c r="A5" s="18" t="str">
        <f aca="false">IFERROR(MID(D5,1,FIND("|",D5)-1)&amp;"-"&amp;C5,"")</f>
        <v>AICI202105-6-1-1</v>
      </c>
      <c r="B5" s="19" t="n">
        <f aca="false">IFERROR(__xludf.dummyfunction("""COMPUTED_VALUE"""),44579)</f>
        <v>44579</v>
      </c>
      <c r="C5" s="0" t="n">
        <f aca="false">IFERROR(__xludf.dummyfunction("""COMPUTED_VALUE"""),1)</f>
        <v>1</v>
      </c>
      <c r="D5" s="0" t="str">
        <f aca="false">IFERROR(__xludf.dummyfunction("""COMPUTED_VALUE"""),"AICI202105-6-1| Definir en asocio con Gestión del conocimiento una estrategia de formación en prácticas seguras a través de la metodología de aprendizaje basado en problemas (01/11/2021 - 31/12/2021)")</f>
        <v>AICI202105-6-1| Definir en asocio con Gestión del conocimiento una estrategia de formación en prácticas seguras a través de la metodología de aprendizaje basado en problemas (01/11/2021 - 31/12/2021)</v>
      </c>
      <c r="E5" s="0" t="str">
        <f aca="false">IFERROR(__xludf.dummyfunction("""COMPUTED_VALUE"""),"Se anexa talleres realizados por la universidad San Martín con la metodología basada en problemas y análisis con Protocolo de Londres")</f>
        <v>Se anexa talleres realizados por la universidad San Martín con la metodología basada en problemas y análisis con Protocolo de Londres</v>
      </c>
      <c r="F5" s="0" t="str">
        <f aca="false">IFERROR(__xludf.dummyfunction("""COMPUTED_VALUE"""),"Completo")</f>
        <v>Completo</v>
      </c>
    </row>
    <row r="6" customFormat="false" ht="14.25" hidden="false" customHeight="false" outlineLevel="0" collapsed="false">
      <c r="A6" s="18" t="str">
        <f aca="false">IFERROR(MID(D6,1,FIND("|",D6)-1)&amp;"-"&amp;C6,"")</f>
        <v>AICI202105-1-2-1</v>
      </c>
      <c r="B6" s="19" t="n">
        <f aca="false">IFERROR(__xludf.dummyfunction("""COMPUTED_VALUE"""),44579)</f>
        <v>44579</v>
      </c>
      <c r="C6" s="0" t="n">
        <f aca="false">IFERROR(__xludf.dummyfunction("""COMPUTED_VALUE"""),1)</f>
        <v>1</v>
      </c>
      <c r="D6" s="0" t="str">
        <f aca="false">IFERROR(__xludf.dummyfunction("""COMPUTED_VALUE"""),"AICI202105-1-2| Asegurar el cumplimiento del cronograma de reuniones bimestral y generar actas del equipo Funcional de Seguridad del Paciente... (01/12/2021 - 30/06/2022)")</f>
        <v>AICI202105-1-2| Asegurar el cumplimiento del cronograma de reuniones bimestral y generar actas del equipo Funcional de Seguridad del Paciente... (01/12/2021 - 30/06/2022)</v>
      </c>
      <c r="E6" s="0" t="str">
        <f aca="false">IFERROR(__xludf.dummyfunction("""COMPUTED_VALUE"""),"Se anexa acta de reunión del 14 de enero con Vigilancias para establecer la fecha de entrega de sucesos de seguridad")</f>
        <v>Se anexa acta de reunión del 14 de enero con Vigilancias para establecer la fecha de entrega de sucesos de seguridad</v>
      </c>
      <c r="F6" s="0" t="str">
        <f aca="false">IFERROR(__xludf.dummyfunction("""COMPUTED_VALUE"""),"En desarrollo")</f>
        <v>En desarrollo</v>
      </c>
    </row>
    <row r="7" customFormat="false" ht="14.25" hidden="false" customHeight="false" outlineLevel="0" collapsed="false">
      <c r="A7" s="18" t="str">
        <f aca="false">IFERROR(MID(D7,1,FIND("|",D7)-1)&amp;"-"&amp;C7,"")</f>
        <v>AICI202105-1-1-1</v>
      </c>
      <c r="B7" s="19" t="n">
        <f aca="false">IFERROR(__xludf.dummyfunction("""COMPUTED_VALUE"""),44581)</f>
        <v>44581</v>
      </c>
      <c r="C7" s="0" t="n">
        <f aca="false">IFERROR(__xludf.dummyfunction("""COMPUTED_VALUE"""),1)</f>
        <v>1</v>
      </c>
      <c r="D7" s="0" t="str">
        <f aca="false">IFERROR(__xludf.dummyfunction("""COMPUTED_VALUE"""),"AICI202105-1-1| Elaborar y/o ajustar en conjunto con los programa de vigilancia un cronograma de reuiniones del equipo funcional de las vigilancias (01/10/2021 - 30/11/2021)")</f>
        <v>AICI202105-1-1| Elaborar y/o ajustar en conjunto con los programa de vigilancia un cronograma de reuiniones del equipo funcional de las vigilancias (01/10/2021 - 30/11/2021)</v>
      </c>
      <c r="E7" s="0" t="str">
        <f aca="false">IFERROR(__xludf.dummyfunction("""COMPUTED_VALUE"""),"Se anexa cronograma de actividades con las diferentes áreas de vigilancia")</f>
        <v>Se anexa cronograma de actividades con las diferentes áreas de vigilancia</v>
      </c>
      <c r="F7" s="0" t="str">
        <f aca="false">IFERROR(__xludf.dummyfunction("""COMPUTED_VALUE"""),"Completo")</f>
        <v>Completo</v>
      </c>
    </row>
    <row r="8" customFormat="false" ht="14.25" hidden="false" customHeight="false" outlineLevel="0" collapsed="false">
      <c r="A8" s="18" t="str">
        <f aca="false">IFERROR(MID(D8,1,FIND("|",D8)-1)&amp;"-"&amp;C8,"")</f>
        <v>AICI202105-1-3-2</v>
      </c>
      <c r="B8" s="19" t="n">
        <f aca="false">IFERROR(__xludf.dummyfunction("""COMPUTED_VALUE"""),44658)</f>
        <v>44658</v>
      </c>
      <c r="C8" s="0" t="n">
        <f aca="false">IFERROR(__xludf.dummyfunction("""COMPUTED_VALUE"""),2)</f>
        <v>2</v>
      </c>
      <c r="D8" s="0" t="str">
        <f aca="false">IFERROR(__xludf.dummyfunction("""COMPUTED_VALUE"""),"AICI202105-1-3| Presentar los resultados de las acciones adelantadas por el grupo funcional de las vigilancias y difundirlas en el Comité de G.C.E.S. (01/01/2022 - 30/06/2022)")</f>
        <v>AICI202105-1-3| Presentar los resultados de las acciones adelantadas por el grupo funcional de las vigilancias y difundirlas en el Comité de G.C.E.S. (01/01/2022 - 30/06/2022)</v>
      </c>
      <c r="E8" s="0" t="str">
        <f aca="false">IFERROR(__xludf.dummyfunction("""COMPUTED_VALUE"""),"Se anexa acta del comité de GCES, realizado el 27 de enero de 2022 con la asistencia de la mayoría de vigilancias y presentación del comité de enero")</f>
        <v>Se anexa acta del comité de GCES, realizado el 27 de enero de 2022 con la asistencia de la mayoría de vigilancias y presentación del comité de enero</v>
      </c>
      <c r="F8" s="0" t="str">
        <f aca="false">IFERROR(__xludf.dummyfunction("""COMPUTED_VALUE"""),"En desarrollo")</f>
        <v>En desarrollo</v>
      </c>
    </row>
    <row r="9" customFormat="false" ht="14.25" hidden="false" customHeight="false" outlineLevel="0" collapsed="false">
      <c r="A9" s="18" t="str">
        <f aca="false">IFERROR(MID(D9,1,FIND("|",D9)-1)&amp;"-"&amp;C9,"")</f>
        <v>AICI202105-1-2-2</v>
      </c>
      <c r="B9" s="19" t="n">
        <f aca="false">IFERROR(__xludf.dummyfunction("""COMPUTED_VALUE"""),44663)</f>
        <v>44663</v>
      </c>
      <c r="C9" s="0" t="n">
        <f aca="false">IFERROR(__xludf.dummyfunction("""COMPUTED_VALUE"""),2)</f>
        <v>2</v>
      </c>
      <c r="D9" s="0" t="str">
        <f aca="false">IFERROR(__xludf.dummyfunction("""COMPUTED_VALUE"""),"AICI202105-1-2| Asegurar el cumplimiento del cronograma de reuniones bimestral y generar actas del equipo Funcional de Seguridad del Paciente... (01/12/2021 - 30/06/2022)")</f>
        <v>AICI202105-1-2| Asegurar el cumplimiento del cronograma de reuniones bimestral y generar actas del equipo Funcional de Seguridad del Paciente... (01/12/2021 - 30/06/2022)</v>
      </c>
      <c r="E9" s="0" t="str">
        <f aca="false">IFERROR(__xludf.dummyfunction("""COMPUTED_VALUE"""),"Se anexa acta del 29 de marzo  de reunión de comites y cronograma de vigilancias")</f>
        <v>Se anexa acta del 29 de marzo  de reunión de comites y cronograma de vigilancias</v>
      </c>
      <c r="F9" s="0" t="str">
        <f aca="false">IFERROR(__xludf.dummyfunction("""COMPUTED_VALUE"""),"Completo")</f>
        <v>Completo</v>
      </c>
      <c r="G9" s="0" t="str">
        <f aca="false">IFERROR(__xludf.dummyfunction("""COMPUTED_VALUE"""),"Sí")</f>
        <v>Sí</v>
      </c>
    </row>
    <row r="10" customFormat="false" ht="14.25" hidden="false" customHeight="false" outlineLevel="0" collapsed="false">
      <c r="A10" s="18" t="str">
        <f aca="false">IFERROR(MID(D10,1,FIND("|",D10)-1)&amp;"-"&amp;C10,"")</f>
        <v>AICI202105-3-2-2</v>
      </c>
      <c r="B10" s="19" t="n">
        <f aca="false">IFERROR(__xludf.dummyfunction("""COMPUTED_VALUE"""),44663)</f>
        <v>44663</v>
      </c>
      <c r="C10" s="0" t="n">
        <f aca="false">IFERROR(__xludf.dummyfunction("""COMPUTED_VALUE"""),2)</f>
        <v>2</v>
      </c>
      <c r="D10" s="0" t="str">
        <f aca="false">IFERROR(__xludf.dummyfunction("""COMPUTED_VALUE"""),"AICI202105-3-2| Desplegar e implementar la estrategia de Tutores de prácticas seguras para la prevención de la ocurrencia de eventos adversos más frecuentes en apoyo con personal asistencial. (02/02/2022 - 30/06/2022)")</f>
        <v>AICI202105-3-2| Desplegar e implementar la estrategia de Tutores de prácticas seguras para la prevención de la ocurrencia de eventos adversos más frecuentes en apoyo con personal asistencial. (02/02/2022 - 30/06/2022)</v>
      </c>
      <c r="E10" s="0" t="str">
        <f aca="false">IFERROR(__xludf.dummyfunction("""COMPUTED_VALUE"""),"Los tutores de practica han renunciado y en el momento no existen")</f>
        <v>Los tutores de practica han renunciado y en el momento no existen</v>
      </c>
      <c r="F10" s="0" t="str">
        <f aca="false">IFERROR(__xludf.dummyfunction("""COMPUTED_VALUE"""),"En desarrollo")</f>
        <v>En desarrollo</v>
      </c>
    </row>
    <row r="11" customFormat="false" ht="14.25" hidden="false" customHeight="false" outlineLevel="0" collapsed="false">
      <c r="A11" s="18" t="str">
        <f aca="false">IFERROR(MID(D11,1,FIND("|",D11)-1)&amp;"-"&amp;C11,"")</f>
        <v>AICI202105-3-3-2</v>
      </c>
      <c r="B11" s="19" t="n">
        <f aca="false">IFERROR(__xludf.dummyfunction("""COMPUTED_VALUE"""),44663)</f>
        <v>44663</v>
      </c>
      <c r="C11" s="0" t="n">
        <f aca="false">IFERROR(__xludf.dummyfunction("""COMPUTED_VALUE"""),2)</f>
        <v>2</v>
      </c>
      <c r="D11" s="0" t="str">
        <f aca="false">IFERROR(__xludf.dummyfunction("""COMPUTED_VALUE"""),"AICI202105-3-3| Medir adherencia a prácticas seguras e identificar las causas de falta de adherencia (01/03/2022 - 30/06/2022)")</f>
        <v>AICI202105-3-3| Medir adherencia a prácticas seguras e identificar las causas de falta de adherencia (01/03/2022 - 30/06/2022)</v>
      </c>
      <c r="E11" s="0" t="str">
        <f aca="false">IFERROR(__xludf.dummyfunction("""COMPUTED_VALUE"""),"Se anexa el informe anual del programa y se muestra la adherencia en cada una de las prácticas")</f>
        <v>Se anexa el informe anual del programa y se muestra la adherencia en cada una de las prácticas</v>
      </c>
      <c r="F11" s="0" t="str">
        <f aca="false">IFERROR(__xludf.dummyfunction("""COMPUTED_VALUE"""),"En desarrollo")</f>
        <v>En desarrollo</v>
      </c>
    </row>
    <row r="12" customFormat="false" ht="14.25" hidden="false" customHeight="false" outlineLevel="0" collapsed="false">
      <c r="A12" s="18" t="str">
        <f aca="false">IFERROR(MID(D12,1,FIND("|",D12)-1)&amp;"-"&amp;C12,"")</f>
        <v>AICI202105-4-1-2</v>
      </c>
      <c r="B12" s="19" t="n">
        <f aca="false">IFERROR(__xludf.dummyfunction("""COMPUTED_VALUE"""),44663)</f>
        <v>44663</v>
      </c>
      <c r="C12" s="0" t="n">
        <f aca="false">IFERROR(__xludf.dummyfunction("""COMPUTED_VALUE"""),2)</f>
        <v>2</v>
      </c>
      <c r="D12" s="0" t="str">
        <f aca="false">IFERROR(__xludf.dummyfunction("""COMPUTED_VALUE"""),"AICI202105-4-1| Realizar mesa de trabajo para la evaluación y el seguimiento trimestral al plan de Acción del Programa de Gestión Clínica Excelente y Segura (01/01/2022 - 30/06/2022)")</f>
        <v>AICI202105-4-1| Realizar mesa de trabajo para la evaluación y el seguimiento trimestral al plan de Acción del Programa de Gestión Clínica Excelente y Segura (01/01/2022 - 30/06/2022)</v>
      </c>
      <c r="E12" s="0" t="str">
        <f aca="false">IFERROR(__xludf.dummyfunction("""COMPUTED_VALUE"""),"Se anexa acta de reunión de equipo GCES,donde se evidencia falta de referentes de seguridad en varias sedes y el seguimiento realizado al ultimo trimestre 2021")</f>
        <v>Se anexa acta de reunión de equipo GCES,donde se evidencia falta de referentes de seguridad en varias sedes y el seguimiento realizado al ultimo trimestre 2021</v>
      </c>
      <c r="F12" s="0" t="str">
        <f aca="false">IFERROR(__xludf.dummyfunction("""COMPUTED_VALUE"""),"En desarrollo")</f>
        <v>En desarrollo</v>
      </c>
    </row>
    <row r="13" customFormat="false" ht="14.25" hidden="false" customHeight="false" outlineLevel="0" collapsed="false">
      <c r="A13" s="18" t="str">
        <f aca="false">IFERROR(MID(D13,1,FIND("|",D13)-1)&amp;"-"&amp;C13,"")</f>
        <v>AICI202105-6-2-2</v>
      </c>
      <c r="B13" s="19" t="n">
        <f aca="false">IFERROR(__xludf.dummyfunction("""COMPUTED_VALUE"""),44663)</f>
        <v>44663</v>
      </c>
      <c r="C13" s="0" t="n">
        <f aca="false">IFERROR(__xludf.dummyfunction("""COMPUTED_VALUE"""),2)</f>
        <v>2</v>
      </c>
      <c r="D13" s="0" t="str">
        <f aca="false">IFERROR(__xludf.dummyfunction("""COMPUTED_VALUE"""),"AICI202105-6-2| Implementar programa de formación en prácticas seguras a través de la metodología de aprendizaje basado en problemas (01/02/2022 - 30/06/2022)")</f>
        <v>AICI202105-6-2| Implementar programa de formación en prácticas seguras a través de la metodología de aprendizaje basado en problemas (01/02/2022 - 30/06/2022)</v>
      </c>
      <c r="E13" s="0" t="str">
        <f aca="false">IFERROR(__xludf.dummyfunction("""COMPUTED_VALUE"""),"Se anexa acta de vigilancias,donde se describen las diferentes estrategias de capacitación como servicios por semana ,en la plataforma Moodle Quirón, y el programa capacitando con seguridad")</f>
        <v>Se anexa acta de vigilancias,donde se describen las diferentes estrategias de capacitación como servicios por semana ,en la plataforma Moodle Quirón, y el programa capacitando con seguridad</v>
      </c>
      <c r="F13" s="0" t="str">
        <f aca="false">IFERROR(__xludf.dummyfunction("""COMPUTED_VALUE"""),"Completo")</f>
        <v>Completo</v>
      </c>
      <c r="G13" s="0" t="str">
        <f aca="false">IFERROR(__xludf.dummyfunction("""COMPUTED_VALUE"""),"Sí")</f>
        <v>Sí</v>
      </c>
    </row>
    <row r="14" customFormat="false" ht="14.25" hidden="false" customHeight="false" outlineLevel="0" collapsed="false">
      <c r="A14" s="18" t="str">
        <f aca="false">IFERROR(MID(D14,1,FIND("|",D14)-1)&amp;"-"&amp;C14,"")</f>
        <v>AICI202105-2-1-2</v>
      </c>
      <c r="B14" s="19" t="n">
        <f aca="false">IFERROR(__xludf.dummyfunction("""COMPUTED_VALUE"""),44664)</f>
        <v>44664</v>
      </c>
      <c r="C14" s="0" t="n">
        <f aca="false">IFERROR(__xludf.dummyfunction("""COMPUTED_VALUE"""),2)</f>
        <v>2</v>
      </c>
      <c r="D14" s="0" t="str">
        <f aca="false">IFERROR(__xludf.dummyfunction("""COMPUTED_VALUE"""),"AICI202105-2-1| Generar un tablero único de Indicadores que permita la consolidación de los indicadores generados a partir de la implmentación de G.C.E.S. (01/01/2022 - 30/03/2022)")</f>
        <v>AICI202105-2-1| Generar un tablero único de Indicadores que permita la consolidación de los indicadores generados a partir de la implmentación de G.C.E.S. (01/01/2022 - 30/03/2022)</v>
      </c>
      <c r="E14" s="0" t="str">
        <f aca="false">IFERROR(__xludf.dummyfunction("""COMPUTED_VALUE"""),"Se anexan indicadores de Politica de Calidad,capacitación y ejecución de eventos adverso,los cuales pasaran al Sistema Almera de Calidad,cuando se encuentre implementado")</f>
        <v>Se anexan indicadores de Politica de Calidad,capacitación y ejecución de eventos adverso,los cuales pasaran al Sistema Almera de Calidad,cuando se encuentre implementado</v>
      </c>
      <c r="F14" s="0" t="str">
        <f aca="false">IFERROR(__xludf.dummyfunction("""COMPUTED_VALUE"""),"Completo")</f>
        <v>Completo</v>
      </c>
      <c r="G14" s="0" t="str">
        <f aca="false">IFERROR(__xludf.dummyfunction("""COMPUTED_VALUE"""),"Sí")</f>
        <v>Sí</v>
      </c>
    </row>
    <row r="15" customFormat="false" ht="14.25" hidden="false" customHeight="false" outlineLevel="0" collapsed="false">
      <c r="A15" s="18" t="str">
        <f aca="false">IFERROR(MID(D15,1,FIND("|",D15)-1)&amp;"-"&amp;C15,"")</f>
        <v>AICI202105-4-2-2</v>
      </c>
      <c r="B15" s="19" t="n">
        <f aca="false">IFERROR(__xludf.dummyfunction("""COMPUTED_VALUE"""),44664)</f>
        <v>44664</v>
      </c>
      <c r="C15" s="0" t="n">
        <f aca="false">IFERROR(__xludf.dummyfunction("""COMPUTED_VALUE"""),2)</f>
        <v>2</v>
      </c>
      <c r="D15" s="0" t="str">
        <f aca="false">IFERROR(__xludf.dummyfunction("""COMPUTED_VALUE"""),"AICI202105-4-2| Consignar los resultados de la evaluación obtenida en la mesa de trabajao del plan de acción y presentar al comité de GCES (01/01/2022 - 30/06/2022)")</f>
        <v>AICI202105-4-2| Consignar los resultados de la evaluación obtenida en la mesa de trabajao del plan de acción y presentar al comité de GCES (01/01/2022 - 30/06/2022)</v>
      </c>
      <c r="E15" s="0" t="str">
        <f aca="false">IFERROR(__xludf.dummyfunction("""COMPUTED_VALUE"""),"Se anexa seguimientos y porcentajes obtenidos en el Plan de Acción 2021 y presentación en el comité del mes de Enero")</f>
        <v>Se anexa seguimientos y porcentajes obtenidos en el Plan de Acción 2021 y presentación en el comité del mes de Enero</v>
      </c>
      <c r="F15" s="0" t="str">
        <f aca="false">IFERROR(__xludf.dummyfunction("""COMPUTED_VALUE"""),"Completo")</f>
        <v>Completo</v>
      </c>
      <c r="G15" s="0" t="str">
        <f aca="false">IFERROR(__xludf.dummyfunction("""COMPUTED_VALUE"""),"Sí")</f>
        <v>Sí</v>
      </c>
    </row>
    <row r="16" customFormat="false" ht="14.25" hidden="false" customHeight="false" outlineLevel="0" collapsed="false">
      <c r="A16" s="18" t="str">
        <f aca="false">IFERROR(MID(D16,1,FIND("|",D16)-1)&amp;"-"&amp;C16,"")</f>
        <v>AICI202105-5-1-2</v>
      </c>
      <c r="B16" s="19" t="n">
        <f aca="false">IFERROR(__xludf.dummyfunction("""COMPUTED_VALUE"""),44664)</f>
        <v>44664</v>
      </c>
      <c r="C16" s="0" t="n">
        <f aca="false">IFERROR(__xludf.dummyfunction("""COMPUTED_VALUE"""),2)</f>
        <v>2</v>
      </c>
      <c r="D16" s="0" t="str">
        <f aca="false">IFERROR(__xludf.dummyfunction("""COMPUTED_VALUE"""),"AICI202105-5-1| Definir mecanismo para la evaluación de los propósitos descritos en las capacitaciones (01/01/2022 - 30/01/2022)")</f>
        <v>AICI202105-5-1| Definir mecanismo para la evaluación de los propósitos descritos en las capacitaciones (01/01/2022 - 30/01/2022)</v>
      </c>
      <c r="E16" s="0" t="str">
        <f aca="false">IFERROR(__xludf.dummyfunction("""COMPUTED_VALUE"""),"Se anexa acta con fecha 21 de enero,donde se presenta el programa capacitando en seguridad con cada una de sus estrategias")</f>
        <v>Se anexa acta con fecha 21 de enero,donde se presenta el programa capacitando en seguridad con cada una de sus estrategias</v>
      </c>
      <c r="F16" s="0" t="str">
        <f aca="false">IFERROR(__xludf.dummyfunction("""COMPUTED_VALUE"""),"Completo")</f>
        <v>Completo</v>
      </c>
      <c r="G16" s="0" t="str">
        <f aca="false">IFERROR(__xludf.dummyfunction("""COMPUTED_VALUE"""),"Sí")</f>
        <v>Sí</v>
      </c>
    </row>
    <row r="17" customFormat="false" ht="14.25" hidden="false" customHeight="false" outlineLevel="0" collapsed="false">
      <c r="A17" s="18" t="str">
        <f aca="false">IFERROR(MID(D17,1,FIND("|",D17)-1)&amp;"-"&amp;C17,"")</f>
        <v>AICI202105-5-2-2</v>
      </c>
      <c r="B17" s="19" t="n">
        <f aca="false">IFERROR(__xludf.dummyfunction("""COMPUTED_VALUE"""),44664)</f>
        <v>44664</v>
      </c>
      <c r="C17" s="0" t="n">
        <f aca="false">IFERROR(__xludf.dummyfunction("""COMPUTED_VALUE"""),2)</f>
        <v>2</v>
      </c>
      <c r="D17" s="0" t="str">
        <f aca="false">IFERROR(__xludf.dummyfunction("""COMPUTED_VALUE"""),"AICI202105-5-2| Implementar mecanismos para la evaluación de los propósitos descritos en las capacitaciones (01/03/2022 - 30/06/2022)")</f>
        <v>AICI202105-5-2| Implementar mecanismos para la evaluación de los propósitos descritos en las capacitaciones (01/03/2022 - 30/06/2022)</v>
      </c>
      <c r="E17" s="0" t="str">
        <f aca="false">IFERROR(__xludf.dummyfunction("""COMPUTED_VALUE"""),"Se están realizando pruebas de pretest y postest antes de cada capacitación,se evidencian pre test y test efectuados el 3 de marzo y acta de capacitación de la misma fecha")</f>
        <v>Se están realizando pruebas de pretest y postest antes de cada capacitación,se evidencian pre test y test efectuados el 3 de marzo y acta de capacitación de la misma fecha</v>
      </c>
      <c r="F17" s="0" t="str">
        <f aca="false">IFERROR(__xludf.dummyfunction("""COMPUTED_VALUE"""),"En desarrollo")</f>
        <v>En desarrollo</v>
      </c>
    </row>
    <row r="18" customFormat="false" ht="14.25" hidden="false" customHeight="false" outlineLevel="0" collapsed="false">
      <c r="A18" s="18" t="str">
        <f aca="false">IFERROR(MID(D18,1,FIND("|",D18)-1)&amp;"-"&amp;C18,"")</f>
        <v>AICI202105-6-3-2</v>
      </c>
      <c r="B18" s="19" t="n">
        <f aca="false">IFERROR(__xludf.dummyfunction("""COMPUTED_VALUE"""),44664)</f>
        <v>44664</v>
      </c>
      <c r="C18" s="0" t="n">
        <f aca="false">IFERROR(__xludf.dummyfunction("""COMPUTED_VALUE"""),2)</f>
        <v>2</v>
      </c>
      <c r="D18" s="0" t="str">
        <f aca="false">IFERROR(__xludf.dummyfunction("""COMPUTED_VALUE"""),"AICI202105-6-3| Evaluar la apropiación de la metodología por parte del personal en formación (01/03/2022 - 30/06/2022)")</f>
        <v>AICI202105-6-3| Evaluar la apropiación de la metodología por parte del personal en formación (01/03/2022 - 30/06/2022)</v>
      </c>
      <c r="E18" s="0" t="str">
        <f aca="false">IFERROR(__xludf.dummyfunction("""COMPUTED_VALUE"""),"Se anexan los seguimientos realizados a practicas seguras,observandose el 31.5 se encuentra por debajo de 80% de adherencia")</f>
        <v>Se anexan los seguimientos realizados a practicas seguras,observandose el 31.5 se encuentra por debajo de 80% de adherencia</v>
      </c>
      <c r="F18" s="0" t="str">
        <f aca="false">IFERROR(__xludf.dummyfunction("""COMPUTED_VALUE"""),"En desarrollo")</f>
        <v>En desarrollo</v>
      </c>
    </row>
    <row r="19" customFormat="false" ht="14.25" hidden="false" customHeight="false" outlineLevel="0" collapsed="false">
      <c r="A19" s="18" t="str">
        <f aca="false">IFERROR(MID(D19,1,FIND("|",D19)-1)&amp;"-"&amp;C19,"")</f>
        <v>AICI202105-1-3-3</v>
      </c>
      <c r="B19" s="19" t="n">
        <f aca="false">IFERROR(__xludf.dummyfunction("""COMPUTED_VALUE"""),44750)</f>
        <v>44750</v>
      </c>
      <c r="C19" s="0" t="n">
        <f aca="false">IFERROR(__xludf.dummyfunction("""COMPUTED_VALUE"""),3)</f>
        <v>3</v>
      </c>
      <c r="D19" s="0" t="str">
        <f aca="false">IFERROR(__xludf.dummyfunction("""COMPUTED_VALUE"""),"AICI202105-1-3| Presentar los resultados de las acciones adelantadas por el grupo funcional de las vigilancias y difundirlas en el Comité de G.C.E.S. (01/01/2022 - 30/06/2022)")</f>
        <v>AICI202105-1-3| Presentar los resultados de las acciones adelantadas por el grupo funcional de las vigilancias y difundirlas en el Comité de G.C.E.S. (01/01/2022 - 30/06/2022)</v>
      </c>
      <c r="E19" s="0" t="str">
        <f aca="false">IFERROR(__xludf.dummyfunction("""COMPUTED_VALUE"""),"Se observan las actas del primer semestre del comite GCES,donde se observa la participación de todas las vigilancias")</f>
        <v>Se observan las actas del primer semestre del comite GCES,donde se observa la participación de todas las vigilancias</v>
      </c>
      <c r="F19" s="0" t="str">
        <f aca="false">IFERROR(__xludf.dummyfunction("""COMPUTED_VALUE"""),"Completo")</f>
        <v>Completo</v>
      </c>
      <c r="G19" s="0" t="str">
        <f aca="false">IFERROR(__xludf.dummyfunction("""COMPUTED_VALUE"""),"Sí")</f>
        <v>Sí</v>
      </c>
    </row>
    <row r="20" customFormat="false" ht="14.25" hidden="false" customHeight="false" outlineLevel="0" collapsed="false">
      <c r="A20" s="18" t="str">
        <f aca="false">IFERROR(MID(D20,1,FIND("|",D20)-1)&amp;"-"&amp;C20,"")</f>
        <v>AICI202105-2-2-3</v>
      </c>
      <c r="B20" s="19" t="n">
        <f aca="false">IFERROR(__xludf.dummyfunction("""COMPUTED_VALUE"""),44750)</f>
        <v>44750</v>
      </c>
      <c r="C20" s="0" t="n">
        <f aca="false">IFERROR(__xludf.dummyfunction("""COMPUTED_VALUE"""),3)</f>
        <v>3</v>
      </c>
      <c r="D20" s="0" t="str">
        <f aca="false">IFERROR(__xludf.dummyfunction("""COMPUTED_VALUE"""),"AICI202105-2-2| Generar e implementar con Comunicaciones una estrategia de difusión de los indicadores POA y Gestión del Riesgo Clínico el resultado de los indicadores de G.C.E.S. (01/04/2022 - 30/06/2022)")</f>
        <v>AICI202105-2-2| Generar e implementar con Comunicaciones una estrategia de difusión de los indicadores POA y Gestión del Riesgo Clínico el resultado de los indicadores de G.C.E.S. (01/04/2022 - 30/06/2022)</v>
      </c>
      <c r="E20" s="0" t="str">
        <f aca="false">IFERROR(__xludf.dummyfunction("""COMPUTED_VALUE"""),"No anexaron ninguna evidencia ")</f>
        <v>No anexaron ninguna evidencia </v>
      </c>
      <c r="F20" s="0" t="str">
        <f aca="false">IFERROR(__xludf.dummyfunction("""COMPUTED_VALUE"""),"Atrasado")</f>
        <v>Atrasado</v>
      </c>
    </row>
    <row r="21" customFormat="false" ht="14.25" hidden="false" customHeight="false" outlineLevel="0" collapsed="false">
      <c r="A21" s="18" t="str">
        <f aca="false">IFERROR(MID(D21,1,FIND("|",D21)-1)&amp;"-"&amp;C21,"")</f>
        <v>AICI202105-2-3-3</v>
      </c>
      <c r="B21" s="19" t="n">
        <f aca="false">IFERROR(__xludf.dummyfunction("""COMPUTED_VALUE"""),44750)</f>
        <v>44750</v>
      </c>
      <c r="C21" s="0" t="n">
        <f aca="false">IFERROR(__xludf.dummyfunction("""COMPUTED_VALUE"""),3)</f>
        <v>3</v>
      </c>
      <c r="D21" s="0" t="str">
        <f aca="false">IFERROR(__xludf.dummyfunction("""COMPUTED_VALUE"""),"AICI202105-2-3| Analizar y divulgar mensualmente los indicadores tanto en el Comité de G.C.E.S.,Unidades de Análisis y equipos primarios de mejoramiento (01/04/2022 - 30/06/2022)")</f>
        <v>AICI202105-2-3| Analizar y divulgar mensualmente los indicadores tanto en el Comité de G.C.E.S.,Unidades de Análisis y equipos primarios de mejoramiento (01/04/2022 - 30/06/2022)</v>
      </c>
      <c r="E21" s="0" t="str">
        <f aca="false">IFERROR(__xludf.dummyfunction("""COMPUTED_VALUE"""),"Se evidencian actas de diferentes áreas presentando el resultado de los sucesos de seguridad,pero no se evidencia la hoja de indicadores que contiene el analisis de los mismos,la cual fué el motivo del hallazgo")</f>
        <v>Se evidencian actas de diferentes áreas presentando el resultado de los sucesos de seguridad,pero no se evidencia la hoja de indicadores que contiene el analisis de los mismos,la cual fué el motivo del hallazgo</v>
      </c>
      <c r="F21" s="0" t="str">
        <f aca="false">IFERROR(__xludf.dummyfunction("""COMPUTED_VALUE"""),"Atrasado")</f>
        <v>Atrasado</v>
      </c>
    </row>
    <row r="22" customFormat="false" ht="14.25" hidden="false" customHeight="false" outlineLevel="0" collapsed="false">
      <c r="A22" s="18" t="str">
        <f aca="false">IFERROR(MID(D22,1,FIND("|",D22)-1)&amp;"-"&amp;C22,"")</f>
        <v>AICI202105-2-4-3</v>
      </c>
      <c r="B22" s="19" t="n">
        <f aca="false">IFERROR(__xludf.dummyfunction("""COMPUTED_VALUE"""),44750)</f>
        <v>44750</v>
      </c>
      <c r="C22" s="0" t="n">
        <f aca="false">IFERROR(__xludf.dummyfunction("""COMPUTED_VALUE"""),3)</f>
        <v>3</v>
      </c>
      <c r="D22" s="0" t="str">
        <f aca="false">IFERROR(__xludf.dummyfunction("""COMPUTED_VALUE"""),"AICI202105-2-4| Proponer acciones de mejora derivadas de los resultados de los indicadores que incumplan las metas (01/04/2022 - 30/06/2022)")</f>
        <v>AICI202105-2-4| Proponer acciones de mejora derivadas de los resultados de los indicadores que incumplan las metas (01/04/2022 - 30/06/2022)</v>
      </c>
      <c r="E22" s="0" t="str">
        <f aca="false">IFERROR(__xludf.dummyfunction("""COMPUTED_VALUE"""),"No se observan acciones de mejora de indicadores incumplidos")</f>
        <v>No se observan acciones de mejora de indicadores incumplidos</v>
      </c>
      <c r="F22" s="0" t="str">
        <f aca="false">IFERROR(__xludf.dummyfunction("""COMPUTED_VALUE"""),"Atrasado")</f>
        <v>Atrasado</v>
      </c>
    </row>
    <row r="23" customFormat="false" ht="14.25" hidden="false" customHeight="false" outlineLevel="0" collapsed="false">
      <c r="A23" s="18" t="str">
        <f aca="false">IFERROR(MID(D23,1,FIND("|",D23)-1)&amp;"-"&amp;C23,"")</f>
        <v>AICI202105-3-2-3</v>
      </c>
      <c r="B23" s="19" t="n">
        <f aca="false">IFERROR(__xludf.dummyfunction("""COMPUTED_VALUE"""),44750)</f>
        <v>44750</v>
      </c>
      <c r="C23" s="0" t="n">
        <f aca="false">IFERROR(__xludf.dummyfunction("""COMPUTED_VALUE"""),3)</f>
        <v>3</v>
      </c>
      <c r="D23" s="0" t="str">
        <f aca="false">IFERROR(__xludf.dummyfunction("""COMPUTED_VALUE"""),"AICI202105-3-2| Desplegar e implementar la estrategia de Tutores de prácticas seguras para la prevención de la ocurrencia de eventos adversos más frecuentes en apoyo con personal asistencial. (02/02/2022 - 30/06/2022)")</f>
        <v>AICI202105-3-2| Desplegar e implementar la estrategia de Tutores de prácticas seguras para la prevención de la ocurrencia de eventos adversos más frecuentes en apoyo con personal asistencial. (02/02/2022 - 30/06/2022)</v>
      </c>
      <c r="E23" s="0" t="str">
        <f aca="false">IFERROR(__xludf.dummyfunction("""COMPUTED_VALUE"""),"No hay evidencia de la implementación de tutores de practicas seguras")</f>
        <v>No hay evidencia de la implementación de tutores de practicas seguras</v>
      </c>
      <c r="F23" s="0" t="str">
        <f aca="false">IFERROR(__xludf.dummyfunction("""COMPUTED_VALUE"""),"Atrasado")</f>
        <v>Atrasado</v>
      </c>
    </row>
    <row r="24" customFormat="false" ht="14.25" hidden="false" customHeight="false" outlineLevel="0" collapsed="false">
      <c r="A24" s="18" t="str">
        <f aca="false">IFERROR(MID(D24,1,FIND("|",D24)-1)&amp;"-"&amp;C24,"")</f>
        <v>AICI202105-3-3-3</v>
      </c>
      <c r="B24" s="19" t="n">
        <f aca="false">IFERROR(__xludf.dummyfunction("""COMPUTED_VALUE"""),44750)</f>
        <v>44750</v>
      </c>
      <c r="C24" s="0" t="n">
        <f aca="false">IFERROR(__xludf.dummyfunction("""COMPUTED_VALUE"""),3)</f>
        <v>3</v>
      </c>
      <c r="D24" s="0" t="str">
        <f aca="false">IFERROR(__xludf.dummyfunction("""COMPUTED_VALUE"""),"AICI202105-3-3| Medir adherencia a prácticas seguras e identificar las causas de falta de adherencia (01/03/2022 - 30/06/2022)")</f>
        <v>AICI202105-3-3| Medir adherencia a prácticas seguras e identificar las causas de falta de adherencia (01/03/2022 - 30/06/2022)</v>
      </c>
      <c r="E24" s="0" t="str">
        <f aca="false">IFERROR(__xludf.dummyfunction("""COMPUTED_VALUE"""),"Se observa consolidado de adherencia a prácticas seguras de enero a Mayo ")</f>
        <v>Se observa consolidado de adherencia a prácticas seguras de enero a Mayo </v>
      </c>
      <c r="F24" s="0" t="str">
        <f aca="false">IFERROR(__xludf.dummyfunction("""COMPUTED_VALUE"""),"Completo")</f>
        <v>Completo</v>
      </c>
      <c r="G24" s="0" t="str">
        <f aca="false">IFERROR(__xludf.dummyfunction("""COMPUTED_VALUE"""),"Sí")</f>
        <v>Sí</v>
      </c>
    </row>
    <row r="25" customFormat="false" ht="14.25" hidden="false" customHeight="false" outlineLevel="0" collapsed="false">
      <c r="A25" s="18" t="str">
        <f aca="false">IFERROR(MID(D25,1,FIND("|",D25)-1)&amp;"-"&amp;C25,"")</f>
        <v>AICI202105-3-4-3</v>
      </c>
      <c r="B25" s="19" t="n">
        <f aca="false">IFERROR(__xludf.dummyfunction("""COMPUTED_VALUE"""),44750)</f>
        <v>44750</v>
      </c>
      <c r="C25" s="0" t="n">
        <f aca="false">IFERROR(__xludf.dummyfunction("""COMPUTED_VALUE"""),3)</f>
        <v>3</v>
      </c>
      <c r="D25" s="0" t="str">
        <f aca="false">IFERROR(__xludf.dummyfunction("""COMPUTED_VALUE"""),"AICI202105-3-4| Socializar resultados en el comité de G.C.E.S. y proponer planes da acción para garantizar adherencia (01/04/2022 - 30/06/2022)")</f>
        <v>AICI202105-3-4| Socializar resultados en el comité de G.C.E.S. y proponer planes da acción para garantizar adherencia (01/04/2022 - 30/06/2022)</v>
      </c>
      <c r="E25" s="0" t="str">
        <f aca="false">IFERROR(__xludf.dummyfunction("""COMPUTED_VALUE"""),"No enviaron ningún soporte asociado a esta acción de mejora")</f>
        <v>No enviaron ningún soporte asociado a esta acción de mejora</v>
      </c>
      <c r="F25" s="0" t="str">
        <f aca="false">IFERROR(__xludf.dummyfunction("""COMPUTED_VALUE"""),"Atrasado")</f>
        <v>Atrasado</v>
      </c>
    </row>
    <row r="26" customFormat="false" ht="14.25" hidden="false" customHeight="false" outlineLevel="0" collapsed="false">
      <c r="A26" s="18" t="str">
        <f aca="false">IFERROR(MID(D26,1,FIND("|",D26)-1)&amp;"-"&amp;C26,"")</f>
        <v>AICI202105-4-1-3</v>
      </c>
      <c r="B26" s="19" t="n">
        <f aca="false">IFERROR(__xludf.dummyfunction("""COMPUTED_VALUE"""),44750)</f>
        <v>44750</v>
      </c>
      <c r="C26" s="0" t="n">
        <f aca="false">IFERROR(__xludf.dummyfunction("""COMPUTED_VALUE"""),3)</f>
        <v>3</v>
      </c>
      <c r="D26" s="0" t="str">
        <f aca="false">IFERROR(__xludf.dummyfunction("""COMPUTED_VALUE"""),"AICI202105-4-1| Realizar mesa de trabajo para la evaluación y el seguimiento trimestral al plan de Acción del Programa de Gestión Clínica Excelente y Segura (01/01/2022 - 30/06/2022)")</f>
        <v>AICI202105-4-1| Realizar mesa de trabajo para la evaluación y el seguimiento trimestral al plan de Acción del Programa de Gestión Clínica Excelente y Segura (01/01/2022 - 30/06/2022)</v>
      </c>
      <c r="E26" s="0" t="str">
        <f aca="false">IFERROR(__xludf.dummyfunction("""COMPUTED_VALUE"""),"Se anexa acta de evaluación del programa GCES del mes de mayo")</f>
        <v>Se anexa acta de evaluación del programa GCES del mes de mayo</v>
      </c>
      <c r="F26" s="0" t="str">
        <f aca="false">IFERROR(__xludf.dummyfunction("""COMPUTED_VALUE"""),"Completo")</f>
        <v>Completo</v>
      </c>
      <c r="G26" s="0" t="str">
        <f aca="false">IFERROR(__xludf.dummyfunction("""COMPUTED_VALUE"""),"Sí")</f>
        <v>Sí</v>
      </c>
    </row>
    <row r="27" customFormat="false" ht="14.25" hidden="false" customHeight="false" outlineLevel="0" collapsed="false">
      <c r="A27" s="18" t="str">
        <f aca="false">IFERROR(MID(D27,1,FIND("|",D27)-1)&amp;"-"&amp;C27,"")</f>
        <v>AICI202105-5-2-3</v>
      </c>
      <c r="B27" s="19" t="n">
        <f aca="false">IFERROR(__xludf.dummyfunction("""COMPUTED_VALUE"""),44750)</f>
        <v>44750</v>
      </c>
      <c r="C27" s="0" t="n">
        <f aca="false">IFERROR(__xludf.dummyfunction("""COMPUTED_VALUE"""),3)</f>
        <v>3</v>
      </c>
      <c r="D27" s="0" t="str">
        <f aca="false">IFERROR(__xludf.dummyfunction("""COMPUTED_VALUE"""),"AICI202105-5-2| Implementar mecanismos para la evaluación de los propósitos descritos en las capacitaciones (01/03/2022 - 30/06/2022)")</f>
        <v>AICI202105-5-2| Implementar mecanismos para la evaluación de los propósitos descritos en las capacitaciones (01/03/2022 - 30/06/2022)</v>
      </c>
      <c r="E27" s="0" t="str">
        <f aca="false">IFERROR(__xludf.dummyfunction("""COMPUTED_VALUE"""),"No se reciben soportes asociados a esta acción ")</f>
        <v>No se reciben soportes asociados a esta acción </v>
      </c>
      <c r="F27" s="0" t="str">
        <f aca="false">IFERROR(__xludf.dummyfunction("""COMPUTED_VALUE"""),"Atrasado")</f>
        <v>Atrasado</v>
      </c>
    </row>
    <row r="28" customFormat="false" ht="14.25" hidden="false" customHeight="false" outlineLevel="0" collapsed="false">
      <c r="A28" s="18" t="str">
        <f aca="false">IFERROR(MID(D28,1,FIND("|",D28)-1)&amp;"-"&amp;C28,"")</f>
        <v>AICI202105-5-3-3</v>
      </c>
      <c r="B28" s="19" t="n">
        <f aca="false">IFERROR(__xludf.dummyfunction("""COMPUTED_VALUE"""),44750)</f>
        <v>44750</v>
      </c>
      <c r="C28" s="0" t="n">
        <f aca="false">IFERROR(__xludf.dummyfunction("""COMPUTED_VALUE"""),3)</f>
        <v>3</v>
      </c>
      <c r="D28" s="0" t="str">
        <f aca="false">IFERROR(__xludf.dummyfunction("""COMPUTED_VALUE"""),"AICI202105-5-3| Presentar los resultados derivados de la evaluación de los propósitos descritos en las cpacitaciones en el comité de GCES (01/04/2022 - 30/06/2022)")</f>
        <v>AICI202105-5-3| Presentar los resultados derivados de la evaluación de los propósitos descritos en las cpacitaciones en el comité de GCES (01/04/2022 - 30/06/2022)</v>
      </c>
      <c r="E28" s="0" t="str">
        <f aca="false">IFERROR(__xludf.dummyfunction("""COMPUTED_VALUE"""),"Se anexa informe de evaluación a las capacitaciones realizadas")</f>
        <v>Se anexa informe de evaluación a las capacitaciones realizadas</v>
      </c>
      <c r="F28" s="0" t="str">
        <f aca="false">IFERROR(__xludf.dummyfunction("""COMPUTED_VALUE"""),"Completo")</f>
        <v>Completo</v>
      </c>
      <c r="G28" s="0" t="str">
        <f aca="false">IFERROR(__xludf.dummyfunction("""COMPUTED_VALUE"""),"Sí")</f>
        <v>Sí</v>
      </c>
    </row>
    <row r="29" customFormat="false" ht="14.25" hidden="false" customHeight="false" outlineLevel="0" collapsed="false">
      <c r="A29" s="18" t="str">
        <f aca="false">IFERROR(MID(D29,1,FIND("|",D29)-1)&amp;"-"&amp;C29,"")</f>
        <v>AICI202105-6-3-3</v>
      </c>
      <c r="B29" s="19" t="n">
        <f aca="false">IFERROR(__xludf.dummyfunction("""COMPUTED_VALUE"""),44750)</f>
        <v>44750</v>
      </c>
      <c r="C29" s="0" t="n">
        <f aca="false">IFERROR(__xludf.dummyfunction("""COMPUTED_VALUE"""),3)</f>
        <v>3</v>
      </c>
      <c r="D29" s="0" t="str">
        <f aca="false">IFERROR(__xludf.dummyfunction("""COMPUTED_VALUE"""),"AICI202105-6-3| Evaluar la apropiación de la metodología por parte del personal en formación (01/03/2022 - 30/06/2022)")</f>
        <v>AICI202105-6-3| Evaluar la apropiación de la metodología por parte del personal en formación (01/03/2022 - 30/06/2022)</v>
      </c>
      <c r="E29" s="0" t="str">
        <f aca="false">IFERROR(__xludf.dummyfunction("""COMPUTED_VALUE"""),"Se anexa consolidado de practicas seguras")</f>
        <v>Se anexa consolidado de practicas seguras</v>
      </c>
      <c r="F29" s="0" t="str">
        <f aca="false">IFERROR(__xludf.dummyfunction("""COMPUTED_VALUE"""),"Completo")</f>
        <v>Completo</v>
      </c>
      <c r="G29" s="0" t="str">
        <f aca="false">IFERROR(__xludf.dummyfunction("""COMPUTED_VALUE"""),"Sí")</f>
        <v>Sí</v>
      </c>
    </row>
    <row r="30" customFormat="false" ht="14.25" hidden="false" customHeight="false" outlineLevel="0" collapsed="false">
      <c r="A30" s="18" t="str">
        <f aca="false">IFERROR(MID(D30,1,FIND("|",D30)-1)&amp;"-"&amp;C30,"")</f>
        <v>AICI202105-2-2-4</v>
      </c>
      <c r="B30" s="19" t="n">
        <f aca="false">IFERROR(__xludf.dummyfunction("""COMPUTED_VALUE"""),44838)</f>
        <v>44838</v>
      </c>
      <c r="C30" s="0" t="n">
        <f aca="false">IFERROR(__xludf.dummyfunction("""COMPUTED_VALUE"""),4)</f>
        <v>4</v>
      </c>
      <c r="D30" s="0" t="str">
        <f aca="false">IFERROR(__xludf.dummyfunction("""COMPUTED_VALUE"""),"AICI202105-2-2| Generar e implementar con Comunicaciones una estrategia de difusión de los indicadores POA y Gestión del Riesgo Clínico el resultado de los indicadores de G.C.E.S. (01/04/2022 - 30/06/2022)")</f>
        <v>AICI202105-2-2| Generar e implementar con Comunicaciones una estrategia de difusión de los indicadores POA y Gestión del Riesgo Clínico el resultado de los indicadores de G.C.E.S. (01/04/2022 - 30/06/2022)</v>
      </c>
      <c r="E30" s="0" t="str">
        <f aca="false">IFERROR(__xludf.dummyfunction("""COMPUTED_VALUE"""),"Se anexa acta de fecha 7 de septiembre,en la cual se reunen con comunicaciones para la publicación de los indicadores tanto del POA como de seguridad del paciente en el mes de octubre")</f>
        <v>Se anexa acta de fecha 7 de septiembre,en la cual se reunen con comunicaciones para la publicación de los indicadores tanto del POA como de seguridad del paciente en el mes de octubre</v>
      </c>
      <c r="F30" s="0" t="str">
        <f aca="false">IFERROR(__xludf.dummyfunction("""COMPUTED_VALUE"""),"Completo")</f>
        <v>Completo</v>
      </c>
      <c r="G30" s="0" t="str">
        <f aca="false">IFERROR(__xludf.dummyfunction("""COMPUTED_VALUE"""),"No")</f>
        <v>No</v>
      </c>
    </row>
    <row r="31" customFormat="false" ht="14.25" hidden="false" customHeight="false" outlineLevel="0" collapsed="false">
      <c r="A31" s="18" t="str">
        <f aca="false">IFERROR(MID(D31,1,FIND("|",D31)-1)&amp;"-"&amp;C31,"")</f>
        <v>AICI202105-2-3-4</v>
      </c>
      <c r="B31" s="19" t="n">
        <f aca="false">IFERROR(__xludf.dummyfunction("""COMPUTED_VALUE"""),44838)</f>
        <v>44838</v>
      </c>
      <c r="C31" s="0" t="n">
        <f aca="false">IFERROR(__xludf.dummyfunction("""COMPUTED_VALUE"""),4)</f>
        <v>4</v>
      </c>
      <c r="D31" s="0" t="str">
        <f aca="false">IFERROR(__xludf.dummyfunction("""COMPUTED_VALUE"""),"AICI202105-2-3| Analizar y divulgar mensualmente los indicadores tanto en el Comité de G.C.E.S.,Unidades de Análisis y equipos primarios de mejoramiento (01/04/2022 - 30/06/2022)")</f>
        <v>AICI202105-2-3| Analizar y divulgar mensualmente los indicadores tanto en el Comité de G.C.E.S.,Unidades de Análisis y equipos primarios de mejoramiento (01/04/2022 - 30/06/2022)</v>
      </c>
      <c r="E31" s="0" t="str">
        <f aca="false">IFERROR(__xludf.dummyfunction("""COMPUTED_VALUE"""),"Se evidencia presentación del comite de seguridad del pte y las fichas de indicadores de caidas,upp,eventos adversos y capacitaciones,en la ficha de eventos adversos se encontraron falencias tanto en el nombre del indicador ,en la formula y en el analisis")</f>
        <v>Se evidencia presentación del comite de seguridad del pte y las fichas de indicadores de caidas,upp,eventos adversos y capacitaciones,en la ficha de eventos adversos se encontraron falencias tanto en el nombre del indicador ,en la formula y en el analisis</v>
      </c>
      <c r="F31" s="0" t="str">
        <f aca="false">IFERROR(__xludf.dummyfunction("""COMPUTED_VALUE"""),"Atrasado")</f>
        <v>Atrasado</v>
      </c>
    </row>
    <row r="32" customFormat="false" ht="14.25" hidden="false" customHeight="false" outlineLevel="0" collapsed="false">
      <c r="A32" s="18" t="str">
        <f aca="false">IFERROR(MID(D32,1,FIND("|",D32)-1)&amp;"-"&amp;C32,"")</f>
        <v>AICI202105-2-4-4</v>
      </c>
      <c r="B32" s="19" t="n">
        <f aca="false">IFERROR(__xludf.dummyfunction("""COMPUTED_VALUE"""),44838)</f>
        <v>44838</v>
      </c>
      <c r="C32" s="0" t="n">
        <f aca="false">IFERROR(__xludf.dummyfunction("""COMPUTED_VALUE"""),4)</f>
        <v>4</v>
      </c>
      <c r="D32" s="0" t="str">
        <f aca="false">IFERROR(__xludf.dummyfunction("""COMPUTED_VALUE"""),"AICI202105-2-4| Proponer acciones de mejora derivadas de los resultados de los indicadores que incumplan las metas (01/04/2022 - 30/06/2022)")</f>
        <v>AICI202105-2-4| Proponer acciones de mejora derivadas de los resultados de los indicadores que incumplan las metas (01/04/2022 - 30/06/2022)</v>
      </c>
      <c r="E32" s="0" t="str">
        <f aca="false">IFERROR(__xludf.dummyfunction("""COMPUTED_VALUE"""),"Se observan acciones de mejora en el indicador de upp,propuestas con el centro de piel sana para disminución de este evento ")</f>
        <v>Se observan acciones de mejora en el indicador de upp,propuestas con el centro de piel sana para disminución de este evento </v>
      </c>
      <c r="F32" s="0" t="str">
        <f aca="false">IFERROR(__xludf.dummyfunction("""COMPUTED_VALUE"""),"Completo")</f>
        <v>Completo</v>
      </c>
      <c r="G32" s="0" t="str">
        <f aca="false">IFERROR(__xludf.dummyfunction("""COMPUTED_VALUE"""),"Sí")</f>
        <v>Sí</v>
      </c>
    </row>
    <row r="33" customFormat="false" ht="14.25" hidden="false" customHeight="false" outlineLevel="0" collapsed="false">
      <c r="A33" s="18" t="str">
        <f aca="false">IFERROR(MID(D33,1,FIND("|",D33)-1)&amp;"-"&amp;C33,"")</f>
        <v>AICI202105-3-2-4</v>
      </c>
      <c r="B33" s="19" t="n">
        <f aca="false">IFERROR(__xludf.dummyfunction("""COMPUTED_VALUE"""),44838)</f>
        <v>44838</v>
      </c>
      <c r="C33" s="0" t="n">
        <f aca="false">IFERROR(__xludf.dummyfunction("""COMPUTED_VALUE"""),4)</f>
        <v>4</v>
      </c>
      <c r="D33" s="0" t="str">
        <f aca="false">IFERROR(__xludf.dummyfunction("""COMPUTED_VALUE"""),"AICI202105-3-2| Desplegar e implementar la estrategia de Tutores de prácticas seguras para la prevención de la ocurrencia de eventos adversos más frecuentes en apoyo con personal asistencial. (02/02/2022 - 30/06/2022)")</f>
        <v>AICI202105-3-2| Desplegar e implementar la estrategia de Tutores de prácticas seguras para la prevención de la ocurrencia de eventos adversos más frecuentes en apoyo con personal asistencial. (02/02/2022 - 30/06/2022)</v>
      </c>
      <c r="E33" s="0" t="str">
        <f aca="false">IFERROR(__xludf.dummyfunction("""COMPUTED_VALUE"""),"La estrategia de tutores de practica fué cambiada por la estrategia de autocontrol con  listas de chequeo,se anexan diferentes listas actualizadas y acta de reunión de seguridad del paciente del 18 de agosto con la nueva jefe de la oficina de calidad")</f>
        <v>La estrategia de tutores de practica fué cambiada por la estrategia de autocontrol con  listas de chequeo,se anexan diferentes listas actualizadas y acta de reunión de seguridad del paciente del 18 de agosto con la nueva jefe de la oficina de calidad</v>
      </c>
      <c r="F33" s="0" t="str">
        <f aca="false">IFERROR(__xludf.dummyfunction("""COMPUTED_VALUE"""),"Completo")</f>
        <v>Completo</v>
      </c>
      <c r="G33" s="0" t="str">
        <f aca="false">IFERROR(__xludf.dummyfunction("""COMPUTED_VALUE"""),"Sí")</f>
        <v>Sí</v>
      </c>
    </row>
    <row r="34" customFormat="false" ht="14.25" hidden="false" customHeight="false" outlineLevel="0" collapsed="false">
      <c r="A34" s="18" t="str">
        <f aca="false">IFERROR(MID(D34,1,FIND("|",D34)-1)&amp;"-"&amp;C34,"")</f>
        <v>AICI202105-3-4-4</v>
      </c>
      <c r="B34" s="19" t="n">
        <f aca="false">IFERROR(__xludf.dummyfunction("""COMPUTED_VALUE"""),44838)</f>
        <v>44838</v>
      </c>
      <c r="C34" s="0" t="n">
        <f aca="false">IFERROR(__xludf.dummyfunction("""COMPUTED_VALUE"""),4)</f>
        <v>4</v>
      </c>
      <c r="D34" s="0" t="str">
        <f aca="false">IFERROR(__xludf.dummyfunction("""COMPUTED_VALUE"""),"AICI202105-3-4| Socializar resultados en el comité de G.C.E.S. y proponer planes da acción para garantizar adherencia (01/04/2022 - 30/06/2022)")</f>
        <v>AICI202105-3-4| Socializar resultados en el comité de G.C.E.S. y proponer planes da acción para garantizar adherencia (01/04/2022 - 30/06/2022)</v>
      </c>
      <c r="E34" s="0" t="str">
        <f aca="false">IFERROR(__xludf.dummyfunction("""COMPUTED_VALUE"""),"Se evidencia acta de seguridad del pte con las propuestas de autocontrol en listas de chequeo")</f>
        <v>Se evidencia acta de seguridad del pte con las propuestas de autocontrol en listas de chequeo</v>
      </c>
      <c r="F34" s="0" t="str">
        <f aca="false">IFERROR(__xludf.dummyfunction("""COMPUTED_VALUE"""),"Completo")</f>
        <v>Completo</v>
      </c>
      <c r="G34" s="0" t="str">
        <f aca="false">IFERROR(__xludf.dummyfunction("""COMPUTED_VALUE"""),"Sí")</f>
        <v>Sí</v>
      </c>
    </row>
    <row r="35" customFormat="false" ht="14.25" hidden="false" customHeight="false" outlineLevel="0" collapsed="false">
      <c r="A35" s="18" t="str">
        <f aca="false">IFERROR(MID(D35,1,FIND("|",D35)-1)&amp;"-"&amp;C35,"")</f>
        <v>AICI202105-5-2-4</v>
      </c>
      <c r="B35" s="19" t="n">
        <f aca="false">IFERROR(__xludf.dummyfunction("""COMPUTED_VALUE"""),44838)</f>
        <v>44838</v>
      </c>
      <c r="C35" s="0" t="n">
        <f aca="false">IFERROR(__xludf.dummyfunction("""COMPUTED_VALUE"""),4)</f>
        <v>4</v>
      </c>
      <c r="D35" s="0" t="str">
        <f aca="false">IFERROR(__xludf.dummyfunction("""COMPUTED_VALUE"""),"AICI202105-5-2| Implementar mecanismos para la evaluación de los propósitos descritos en las capacitaciones (01/03/2022 - 30/06/2022)")</f>
        <v>AICI202105-5-2| Implementar mecanismos para la evaluación de los propósitos descritos en las capacitaciones (01/03/2022 - 30/06/2022)</v>
      </c>
      <c r="E35" s="0" t="str">
        <f aca="false">IFERROR(__xludf.dummyfunction("""COMPUTED_VALUE"""),"Se evidencian listas de chequeo modificadas y evaluadas,se anexa informe del mes de agosto,donde se muestra la adherencia a las capacitaciones mayor al 80%.")</f>
        <v>Se evidencian listas de chequeo modificadas y evaluadas,se anexa informe del mes de agosto,donde se muestra la adherencia a las capacitaciones mayor al 80%.</v>
      </c>
      <c r="F35" s="0" t="str">
        <f aca="false">IFERROR(__xludf.dummyfunction("""COMPUTED_VALUE"""),"Completo")</f>
        <v>Completo</v>
      </c>
      <c r="G35" s="0" t="str">
        <f aca="false">IFERROR(__xludf.dummyfunction("""COMPUTED_VALUE"""),"Sí")</f>
        <v>Sí</v>
      </c>
    </row>
    <row r="36" customFormat="false" ht="14.25" hidden="false" customHeight="false" outlineLevel="0" collapsed="false">
      <c r="A36" s="18" t="str">
        <f aca="false">IFERROR(MID(D36,1,FIND("|",D36)-1)&amp;"-"&amp;C36,"")</f>
        <v>AICI202105-2-3-5</v>
      </c>
      <c r="B36" s="19" t="n">
        <f aca="false">IFERROR(__xludf.dummyfunction("""COMPUTED_VALUE"""),44922)</f>
        <v>44922</v>
      </c>
      <c r="C36" s="0" t="n">
        <f aca="false">IFERROR(__xludf.dummyfunction("""COMPUTED_VALUE"""),5)</f>
        <v>5</v>
      </c>
      <c r="D36" s="0" t="str">
        <f aca="false">IFERROR(__xludf.dummyfunction("""COMPUTED_VALUE"""),"AICI202105-2-3| Analizar y divulgar mensualmente los indicadores tanto en el Comité de G.C.E.S.,Unidades de Análisis y equipos primarios de mejoramiento (01/04/2022 - 30/06/2022)")</f>
        <v>AICI202105-2-3| Analizar y divulgar mensualmente los indicadores tanto en el Comité de G.C.E.S.,Unidades de Análisis y equipos primarios de mejoramiento (01/04/2022 - 30/06/2022)</v>
      </c>
      <c r="E36" s="0" t="str">
        <f aca="false">IFERROR(__xludf.dummyfunction("""COMPUTED_VALUE"""),"Se realiza ajuste a la ficha tecnica del indicador de Gestión del evento adverso,con analisis pertinente de enero a noviembre")</f>
        <v>Se realiza ajuste a la ficha tecnica del indicador de Gestión del evento adverso,con analisis pertinente de enero a noviembre</v>
      </c>
      <c r="F36" s="0" t="str">
        <f aca="false">IFERROR(__xludf.dummyfunction("""COMPUTED_VALUE"""),"Completo")</f>
        <v>Completo</v>
      </c>
      <c r="G36" s="0" t="str">
        <f aca="false">IFERROR(__xludf.dummyfunction("""COMPUTED_VALUE"""),"Sí")</f>
        <v>Sí</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1806</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AICI202106-2-1-1</v>
      </c>
      <c r="B4" s="19" t="n">
        <f aca="false">IFERROR(__xludf.dummyfunction("""COMPUTED_VALUE"""),44551)</f>
        <v>44551</v>
      </c>
      <c r="C4" s="0" t="n">
        <f aca="false">IFERROR(__xludf.dummyfunction("""COMPUTED_VALUE"""),1)</f>
        <v>1</v>
      </c>
      <c r="D4" s="0" t="str">
        <f aca="false">IFERROR(__xludf.dummyfunction("""COMPUTED_VALUE"""),"AICI202106-2-1| Actualizar la Guía del programa Conscientemente y separar los informes en documentos para tal fin. (21/10/2021 - 26/11/2021)")</f>
        <v>AICI202106-2-1| Actualizar la Guía del programa Conscientemente y separar los informes en documentos para tal fin. (21/10/2021 - 26/11/2021)</v>
      </c>
      <c r="E4" s="0" t="str">
        <f aca="false">IFERROR(__xludf.dummyfunction("""COMPUTED_VALUE"""),"Se observa Nueva guía del Programa, pendiente normatización por Calidad")</f>
        <v>Se observa Nueva guía del Programa, pendiente normatización por Calidad</v>
      </c>
      <c r="F4" s="0" t="str">
        <f aca="false">IFERROR(__xludf.dummyfunction("""COMPUTED_VALUE"""),"En desarrollo")</f>
        <v>En desarrollo</v>
      </c>
    </row>
    <row r="5" customFormat="false" ht="14.25" hidden="false" customHeight="false" outlineLevel="0" collapsed="false">
      <c r="A5" s="18" t="str">
        <f aca="false">IFERROR(MID(D5,1,FIND("|",D5)-1)&amp;"-"&amp;C5,"")</f>
        <v>AICI202106-4-1-1</v>
      </c>
      <c r="B5" s="19" t="n">
        <f aca="false">IFERROR(__xludf.dummyfunction("""COMPUTED_VALUE"""),44553)</f>
        <v>44553</v>
      </c>
      <c r="C5" s="0" t="n">
        <f aca="false">IFERROR(__xludf.dummyfunction("""COMPUTED_VALUE"""),1)</f>
        <v>1</v>
      </c>
      <c r="D5" s="0" t="str">
        <f aca="false">IFERROR(__xludf.dummyfunction("""COMPUTED_VALUE"""),"AICI202106-4-1| Revisar y ajustar la Guía del programa Conscientemente (21/10/2021 - 26/11/2021)")</f>
        <v>AICI202106-4-1| Revisar y ajustar la Guía del programa Conscientemente (21/10/2021 - 26/11/2021)</v>
      </c>
      <c r="E5" s="0" t="str">
        <f aca="false">IFERROR(__xludf.dummyfunction("""COMPUTED_VALUE"""),"Se observa el nuevo documento con los cambios de actividades sin personal médico ,pendiente código de normatización")</f>
        <v>Se observa el nuevo documento con los cambios de actividades sin personal médico ,pendiente código de normatización</v>
      </c>
      <c r="F5" s="0" t="str">
        <f aca="false">IFERROR(__xludf.dummyfunction("""COMPUTED_VALUE"""),"En desarrollo")</f>
        <v>En desarrollo</v>
      </c>
    </row>
    <row r="6" customFormat="false" ht="14.25" hidden="false" customHeight="false" outlineLevel="0" collapsed="false">
      <c r="A6" s="18" t="str">
        <f aca="false">IFERROR(MID(D6,1,FIND("|",D6)-1)&amp;"-"&amp;C6,"")</f>
        <v>AICI202106-5-1-1</v>
      </c>
      <c r="B6" s="19" t="n">
        <f aca="false">IFERROR(__xludf.dummyfunction("""COMPUTED_VALUE"""),44553)</f>
        <v>44553</v>
      </c>
      <c r="C6" s="0" t="n">
        <f aca="false">IFERROR(__xludf.dummyfunction("""COMPUTED_VALUE"""),1)</f>
        <v>1</v>
      </c>
      <c r="D6" s="0" t="str">
        <f aca="false">IFERROR(__xludf.dummyfunction("""COMPUTED_VALUE"""),"AICI202106-5-1| Modificación de la Guía de acuerdo a las nuevas actividades realizadas por el programa Conscientemente (21/10/2021 - 26/11/2021)")</f>
        <v>AICI202106-5-1| Modificación de la Guía de acuerdo a las nuevas actividades realizadas por el programa Conscientemente (21/10/2021 - 26/11/2021)</v>
      </c>
      <c r="E6" s="0" t="str">
        <f aca="false">IFERROR(__xludf.dummyfunction("""COMPUTED_VALUE"""),"Dentro de la guía se observa los nuevos canales de comunicación como el whatsApp empresarial y se explican las diferentes actividades según los centros de intervención")</f>
        <v>Dentro de la guía se observa los nuevos canales de comunicación como el whatsApp empresarial y se explican las diferentes actividades según los centros de intervención</v>
      </c>
      <c r="F6" s="0" t="str">
        <f aca="false">IFERROR(__xludf.dummyfunction("""COMPUTED_VALUE"""),"En desarrollo")</f>
        <v>En desarrollo</v>
      </c>
    </row>
    <row r="7" customFormat="false" ht="14.25" hidden="false" customHeight="false" outlineLevel="0" collapsed="false">
      <c r="A7" s="18" t="str">
        <f aca="false">IFERROR(MID(D7,1,FIND("|",D7)-1)&amp;"-"&amp;C7,"")</f>
        <v>AICI202106-8-2-1</v>
      </c>
      <c r="B7" s="19" t="n">
        <f aca="false">IFERROR(__xludf.dummyfunction("""COMPUTED_VALUE"""),44553)</f>
        <v>44553</v>
      </c>
      <c r="C7" s="0" t="n">
        <f aca="false">IFERROR(__xludf.dummyfunction("""COMPUTED_VALUE"""),1)</f>
        <v>1</v>
      </c>
      <c r="D7" s="0" t="str">
        <f aca="false">IFERROR(__xludf.dummyfunction("""COMPUTED_VALUE"""),"AICI202106-8-2| Realización de Acta, firmada con la líder de Humanizamos y Conscientemente, donde se demuestra que ""Café con sentido"" se realiza en Humanizamos (21/10/2021 - 31/10/2021)")</f>
        <v>AICI202106-8-2| Realización de Acta, firmada con la líder de Humanizamos y Conscientemente, donde se demuestra que "Café con sentido" se realiza en Humanizamos (21/10/2021 - 31/10/2021)</v>
      </c>
      <c r="E7" s="0" t="str">
        <f aca="false">IFERROR(__xludf.dummyfunction("""COMPUTED_VALUE"""),"Se anexa acta de reunión de fecha 21 de diciembre con la líder de humanización, donde aclaran la actividad ""un café con sentido""")</f>
        <v>Se anexa acta de reunión de fecha 21 de diciembre con la líder de humanización, donde aclaran la actividad "un café con sentido"</v>
      </c>
      <c r="F7" s="0" t="str">
        <f aca="false">IFERROR(__xludf.dummyfunction("""COMPUTED_VALUE"""),"Completo")</f>
        <v>Completo</v>
      </c>
    </row>
    <row r="8" customFormat="false" ht="14.25" hidden="false" customHeight="false" outlineLevel="0" collapsed="false">
      <c r="A8" s="18" t="str">
        <f aca="false">IFERROR(MID(D8,1,FIND("|",D8)-1)&amp;"-"&amp;C8,"")</f>
        <v>AICI202106-9-1-1</v>
      </c>
      <c r="B8" s="19" t="n">
        <f aca="false">IFERROR(__xludf.dummyfunction("""COMPUTED_VALUE"""),44553)</f>
        <v>44553</v>
      </c>
      <c r="C8" s="0" t="n">
        <f aca="false">IFERROR(__xludf.dummyfunction("""COMPUTED_VALUE"""),1)</f>
        <v>1</v>
      </c>
      <c r="D8" s="0" t="str">
        <f aca="false">IFERROR(__xludf.dummyfunction("""COMPUTED_VALUE"""),"AICI202106-9-1| Realizar los Talleres respetando el cronograma, pero cambiando el tema de acuerdo a las necesidades detectadas. (21/11/2021 - 02/12/2021)")</f>
        <v>AICI202106-9-1| Realizar los Talleres respetando el cronograma, pero cambiando el tema de acuerdo a las necesidades detectadas. (21/11/2021 - 02/12/2021)</v>
      </c>
      <c r="E8" s="0" t="str">
        <f aca="false">IFERROR(__xludf.dummyfunction("""COMPUTED_VALUE"""),"Se anexa el listado de los talleres realizados por FACE LIVE del 2021,de acuerdo a la línea de quien los realiza")</f>
        <v>Se anexa el listado de los talleres realizados por FACE LIVE del 2021,de acuerdo a la línea de quien los realiza</v>
      </c>
      <c r="F8" s="0" t="str">
        <f aca="false">IFERROR(__xludf.dummyfunction("""COMPUTED_VALUE"""),"Completo")</f>
        <v>Completo</v>
      </c>
    </row>
    <row r="9" customFormat="false" ht="14.25" hidden="false" customHeight="false" outlineLevel="0" collapsed="false">
      <c r="A9" s="18" t="str">
        <f aca="false">IFERROR(MID(D9,1,FIND("|",D9)-1)&amp;"-"&amp;C9,"")</f>
        <v>AICI202106-3-1-1</v>
      </c>
      <c r="B9" s="19" t="n">
        <f aca="false">IFERROR(__xludf.dummyfunction("""COMPUTED_VALUE"""),44560)</f>
        <v>44560</v>
      </c>
      <c r="C9" s="0" t="n">
        <f aca="false">IFERROR(__xludf.dummyfunction("""COMPUTED_VALUE"""),1)</f>
        <v>1</v>
      </c>
      <c r="D9" s="0" t="str">
        <f aca="false">IFERROR(__xludf.dummyfunction("""COMPUTED_VALUE"""),"AICI202106-3-1| Capacitación al personal y estandarización del procedimiento (21/10/2021 - 10/11/2021)")</f>
        <v>AICI202106-3-1| Capacitación al personal y estandarización del procedimiento (21/10/2021 - 10/11/2021)</v>
      </c>
      <c r="E9" s="0" t="str">
        <f aca="false">IFERROR(__xludf.dummyfunction("""COMPUTED_VALUE"""),"se anexa base de datos, con el formato de fecha corregido")</f>
        <v>se anexa base de datos, con el formato de fecha corregido</v>
      </c>
      <c r="F9" s="0" t="str">
        <f aca="false">IFERROR(__xludf.dummyfunction("""COMPUTED_VALUE"""),"Completo")</f>
        <v>Completo</v>
      </c>
    </row>
    <row r="10" customFormat="false" ht="14.25" hidden="false" customHeight="false" outlineLevel="0" collapsed="false">
      <c r="A10" s="18" t="str">
        <f aca="false">IFERROR(MID(D10,1,FIND("|",D10)-1)&amp;"-"&amp;C10,"")</f>
        <v>AICI202106-6-1-1</v>
      </c>
      <c r="B10" s="19" t="n">
        <f aca="false">IFERROR(__xludf.dummyfunction("""COMPUTED_VALUE"""),44560)</f>
        <v>44560</v>
      </c>
      <c r="C10" s="0" t="n">
        <f aca="false">IFERROR(__xludf.dummyfunction("""COMPUTED_VALUE"""),1)</f>
        <v>1</v>
      </c>
      <c r="D10" s="0" t="str">
        <f aca="false">IFERROR(__xludf.dummyfunction("""COMPUTED_VALUE"""),"AICI202106-6-1| Actualización de la Guía y plan de acción con las nuevas actividades que realiza el programa Conscientemente. (21/10/2021 - 26/11/2021)")</f>
        <v>AICI202106-6-1| Actualización de la Guía y plan de acción con las nuevas actividades que realiza el programa Conscientemente. (21/10/2021 - 26/11/2021)</v>
      </c>
      <c r="E10" s="0" t="str">
        <f aca="false">IFERROR(__xludf.dummyfunction("""COMPUTED_VALUE"""),"se anexa plan de actividades")</f>
        <v>se anexa plan de actividades</v>
      </c>
      <c r="F10" s="0" t="str">
        <f aca="false">IFERROR(__xludf.dummyfunction("""COMPUTED_VALUE"""),"En desarrollo")</f>
        <v>En desarrollo</v>
      </c>
    </row>
    <row r="11" customFormat="false" ht="14.25" hidden="false" customHeight="false" outlineLevel="0" collapsed="false">
      <c r="A11" s="18" t="str">
        <f aca="false">IFERROR(MID(D11,1,FIND("|",D11)-1)&amp;"-"&amp;C11,"")</f>
        <v>AICI202106-8-1-1</v>
      </c>
      <c r="B11" s="19" t="n">
        <f aca="false">IFERROR(__xludf.dummyfunction("""COMPUTED_VALUE"""),44560)</f>
        <v>44560</v>
      </c>
      <c r="C11" s="0" t="n">
        <f aca="false">IFERROR(__xludf.dummyfunction("""COMPUTED_VALUE"""),1)</f>
        <v>1</v>
      </c>
      <c r="D11" s="0" t="str">
        <f aca="false">IFERROR(__xludf.dummyfunction("""COMPUTED_VALUE"""),"AICI202106-8-1| Programar para el próximo año actividades propias del programa Conscientemente. (21/11/2021 - 02/12/2021)")</f>
        <v>AICI202106-8-1| Programar para el próximo año actividades propias del programa Conscientemente. (21/11/2021 - 02/12/2021)</v>
      </c>
      <c r="E11" s="0" t="str">
        <f aca="false">IFERROR(__xludf.dummyfunction("""COMPUTED_VALUE"""),"Se anexa planeación para el 2022")</f>
        <v>Se anexa planeación para el 2022</v>
      </c>
      <c r="F11" s="0" t="str">
        <f aca="false">IFERROR(__xludf.dummyfunction("""COMPUTED_VALUE"""),"Completo")</f>
        <v>Completo</v>
      </c>
    </row>
    <row r="12" customFormat="false" ht="14.25" hidden="false" customHeight="false" outlineLevel="0" collapsed="false">
      <c r="A12" s="18" t="str">
        <f aca="false">IFERROR(MID(D12,1,FIND("|",D12)-1)&amp;"-"&amp;C12,"")</f>
        <v>AICI202106-1-1-1</v>
      </c>
      <c r="B12" s="19" t="n">
        <f aca="false">IFERROR(__xludf.dummyfunction("""COMPUTED_VALUE"""),44560)</f>
        <v>44560</v>
      </c>
      <c r="C12" s="0" t="n">
        <f aca="false">IFERROR(__xludf.dummyfunction("""COMPUTED_VALUE"""),1)</f>
        <v>1</v>
      </c>
      <c r="D12" s="0" t="str">
        <f aca="false">IFERROR(__xludf.dummyfunction("""COMPUTED_VALUE"""),"AICI202106-1-1| Ajustar y revisar los documentos y enviarlos para su codificación y enviarlos a Calidad (21/10/2021 - 26/11/2021)")</f>
        <v>AICI202106-1-1| Ajustar y revisar los documentos y enviarlos para su codificación y enviarlos a Calidad (21/10/2021 - 26/11/2021)</v>
      </c>
      <c r="E12" s="0" t="str">
        <f aca="false">IFERROR(__xludf.dummyfunction("""COMPUTED_VALUE"""),"Se anexa guía del Programa Conscientemente, pendiente codificación  por Calidad")</f>
        <v>Se anexa guía del Programa Conscientemente, pendiente codificación  por Calidad</v>
      </c>
      <c r="F12" s="0" t="str">
        <f aca="false">IFERROR(__xludf.dummyfunction("""COMPUTED_VALUE"""),"En desarrollo")</f>
        <v>En desarrollo</v>
      </c>
    </row>
    <row r="13" customFormat="false" ht="14.25" hidden="false" customHeight="false" outlineLevel="0" collapsed="false">
      <c r="A13" s="18" t="str">
        <f aca="false">IFERROR(MID(D13,1,FIND("|",D13)-1)&amp;"-"&amp;C13,"")</f>
        <v>AICI202106-7-1-1</v>
      </c>
      <c r="B13" s="19" t="n">
        <f aca="false">IFERROR(__xludf.dummyfunction("""COMPUTED_VALUE"""),44561)</f>
        <v>44561</v>
      </c>
      <c r="C13" s="0" t="n">
        <f aca="false">IFERROR(__xludf.dummyfunction("""COMPUTED_VALUE"""),1)</f>
        <v>1</v>
      </c>
      <c r="D13" s="0" t="str">
        <f aca="false">IFERROR(__xludf.dummyfunction("""COMPUTED_VALUE"""),"AICI202106-7-1| Realizar los indicadores proyectados en el POA con el correspondiente análisis de las desviaciones. (21/10/2021 - 31/10/2021)")</f>
        <v>AICI202106-7-1| Realizar los indicadores proyectados en el POA con el correspondiente análisis de las desviaciones. (21/10/2021 - 31/10/2021)</v>
      </c>
      <c r="E13" s="0" t="str">
        <f aca="false">IFERROR(__xludf.dummyfunction("""COMPUTED_VALUE"""),"Se anexa tabla de indicadores POA ,del último trimestre 2021 con su respectivo análisis")</f>
        <v>Se anexa tabla de indicadores POA ,del último trimestre 2021 con su respectivo análisis</v>
      </c>
      <c r="F13" s="0" t="str">
        <f aca="false">IFERROR(__xludf.dummyfunction("""COMPUTED_VALUE"""),"Completo")</f>
        <v>Completo</v>
      </c>
    </row>
    <row r="14" customFormat="false" ht="14.25" hidden="false" customHeight="false" outlineLevel="0" collapsed="false">
      <c r="A14" s="18" t="str">
        <f aca="false">IFERROR(MID(D14,1,FIND("|",D14)-1)&amp;"-"&amp;C14,"")</f>
        <v>AICI202106-1-1-2</v>
      </c>
      <c r="B14" s="19" t="n">
        <f aca="false">IFERROR(__xludf.dummyfunction("""COMPUTED_VALUE"""),44655)</f>
        <v>44655</v>
      </c>
      <c r="C14" s="0" t="n">
        <f aca="false">IFERROR(__xludf.dummyfunction("""COMPUTED_VALUE"""),2)</f>
        <v>2</v>
      </c>
      <c r="D14" s="0" t="str">
        <f aca="false">IFERROR(__xludf.dummyfunction("""COMPUTED_VALUE"""),"AICI202106-1-1| Ajustar y revisar los documentos y enviarlos para su codificación y enviarlos a Calidad (21/10/2021 - 26/11/2021)")</f>
        <v>AICI202106-1-1| Ajustar y revisar los documentos y enviarlos para su codificación y enviarlos a Calidad (21/10/2021 - 26/11/2021)</v>
      </c>
      <c r="E14" s="0" t="str">
        <f aca="false">IFERROR(__xludf.dummyfunction("""COMPUTED_VALUE"""),"Se anexa cuestionario DAE, con código AP-TH-F-125-01 V1 y el formato de asistencia a capacitación con código AP-TH-F-124-01 V1")</f>
        <v>Se anexa cuestionario DAE, con código AP-TH-F-125-01 V1 y el formato de asistencia a capacitación con código AP-TH-F-124-01 V1</v>
      </c>
      <c r="F14" s="0" t="str">
        <f aca="false">IFERROR(__xludf.dummyfunction("""COMPUTED_VALUE"""),"Completo")</f>
        <v>Completo</v>
      </c>
      <c r="G14" s="0" t="str">
        <f aca="false">IFERROR(__xludf.dummyfunction("""COMPUTED_VALUE"""),"Sí")</f>
        <v>Sí</v>
      </c>
    </row>
    <row r="15" customFormat="false" ht="14.25" hidden="false" customHeight="false" outlineLevel="0" collapsed="false">
      <c r="A15" s="18" t="str">
        <f aca="false">IFERROR(MID(D15,1,FIND("|",D15)-1)&amp;"-"&amp;C15,"")</f>
        <v>AICI202106-2-1-2</v>
      </c>
      <c r="B15" s="19" t="n">
        <f aca="false">IFERROR(__xludf.dummyfunction("""COMPUTED_VALUE"""),44655)</f>
        <v>44655</v>
      </c>
      <c r="C15" s="0" t="n">
        <f aca="false">IFERROR(__xludf.dummyfunction("""COMPUTED_VALUE"""),2)</f>
        <v>2</v>
      </c>
      <c r="D15" s="0" t="str">
        <f aca="false">IFERROR(__xludf.dummyfunction("""COMPUTED_VALUE"""),"AICI202106-2-1| Actualizar la Guía del programa Conscientemente y separar los informes en documentos para tal fin. (21/10/2021 - 26/11/2021)")</f>
        <v>AICI202106-2-1| Actualizar la Guía del programa Conscientemente y separar los informes en documentos para tal fin. (21/10/2021 - 26/11/2021)</v>
      </c>
      <c r="E15" s="0" t="str">
        <f aca="false">IFERROR(__xludf.dummyfunction("""COMPUTED_VALUE"""),"Se normaliza la Guía del Programa conscientemente y queda con código AP-TH-I-32-01-Cuidado de la salud mental para los trabajadores de la salud y sus familias.")</f>
        <v>Se normaliza la Guía del Programa conscientemente y queda con código AP-TH-I-32-01-Cuidado de la salud mental para los trabajadores de la salud y sus familias.</v>
      </c>
      <c r="F15" s="0" t="str">
        <f aca="false">IFERROR(__xludf.dummyfunction("""COMPUTED_VALUE"""),"Completo")</f>
        <v>Completo</v>
      </c>
      <c r="G15" s="0" t="str">
        <f aca="false">IFERROR(__xludf.dummyfunction("""COMPUTED_VALUE"""),"Sí")</f>
        <v>Sí</v>
      </c>
    </row>
    <row r="16" customFormat="false" ht="14.25" hidden="false" customHeight="false" outlineLevel="0" collapsed="false">
      <c r="A16" s="18" t="str">
        <f aca="false">IFERROR(MID(D16,1,FIND("|",D16)-1)&amp;"-"&amp;C16,"")</f>
        <v>AICI202106-4-1-2</v>
      </c>
      <c r="B16" s="19" t="n">
        <f aca="false">IFERROR(__xludf.dummyfunction("""COMPUTED_VALUE"""),44655)</f>
        <v>44655</v>
      </c>
      <c r="C16" s="0" t="n">
        <f aca="false">IFERROR(__xludf.dummyfunction("""COMPUTED_VALUE"""),2)</f>
        <v>2</v>
      </c>
      <c r="D16" s="0" t="str">
        <f aca="false">IFERROR(__xludf.dummyfunction("""COMPUTED_VALUE"""),"AICI202106-4-1| Revisar y ajustar la Guía del programa Conscientemente (21/10/2021 - 26/11/2021)")</f>
        <v>AICI202106-4-1| Revisar y ajustar la Guía del programa Conscientemente (21/10/2021 - 26/11/2021)</v>
      </c>
      <c r="E16" s="0" t="str">
        <f aca="false">IFERROR(__xludf.dummyfunction("""COMPUTED_VALUE"""),"La guía del Programa Conscientemente, se modifica y se excluyen las actividades del personal médico")</f>
        <v>La guía del Programa Conscientemente, se modifica y se excluyen las actividades del personal médico</v>
      </c>
      <c r="F16" s="0" t="str">
        <f aca="false">IFERROR(__xludf.dummyfunction("""COMPUTED_VALUE"""),"Completo")</f>
        <v>Completo</v>
      </c>
      <c r="G16" s="0" t="str">
        <f aca="false">IFERROR(__xludf.dummyfunction("""COMPUTED_VALUE"""),"Sí")</f>
        <v>Sí</v>
      </c>
    </row>
    <row r="17" customFormat="false" ht="14.25" hidden="false" customHeight="false" outlineLevel="0" collapsed="false">
      <c r="A17" s="18" t="str">
        <f aca="false">IFERROR(MID(D17,1,FIND("|",D17)-1)&amp;"-"&amp;C17,"")</f>
        <v>AICI202106-5-1-2</v>
      </c>
      <c r="B17" s="19" t="n">
        <f aca="false">IFERROR(__xludf.dummyfunction("""COMPUTED_VALUE"""),44655)</f>
        <v>44655</v>
      </c>
      <c r="C17" s="0" t="n">
        <f aca="false">IFERROR(__xludf.dummyfunction("""COMPUTED_VALUE"""),2)</f>
        <v>2</v>
      </c>
      <c r="D17" s="0" t="str">
        <f aca="false">IFERROR(__xludf.dummyfunction("""COMPUTED_VALUE"""),"AICI202106-5-1| Modificación de la Guía de acuerdo a las nuevas actividades realizadas por el programa Conscientemente (21/10/2021 - 26/11/2021)")</f>
        <v>AICI202106-5-1| Modificación de la Guía de acuerdo a las nuevas actividades realizadas por el programa Conscientemente (21/10/2021 - 26/11/2021)</v>
      </c>
      <c r="E17" s="0" t="str">
        <f aca="false">IFERROR(__xludf.dummyfunction("""COMPUTED_VALUE"""),"Se incluye entre las  líneas de abordaje, la Estrategia Comunicativa, en la cual se encuentra la línea de whatsApp empresarial")</f>
        <v>Se incluye entre las  líneas de abordaje, la Estrategia Comunicativa, en la cual se encuentra la línea de whatsApp empresarial</v>
      </c>
      <c r="F17" s="0" t="str">
        <f aca="false">IFERROR(__xludf.dummyfunction("""COMPUTED_VALUE"""),"Completo")</f>
        <v>Completo</v>
      </c>
      <c r="G17" s="0" t="str">
        <f aca="false">IFERROR(__xludf.dummyfunction("""COMPUTED_VALUE"""),"Sí")</f>
        <v>Sí</v>
      </c>
    </row>
    <row r="18" customFormat="false" ht="14.25" hidden="false" customHeight="false" outlineLevel="0" collapsed="false">
      <c r="A18" s="18" t="str">
        <f aca="false">IFERROR(MID(D18,1,FIND("|",D18)-1)&amp;"-"&amp;C18,"")</f>
        <v>AICI202106-6-1-2</v>
      </c>
      <c r="B18" s="19" t="n">
        <f aca="false">IFERROR(__xludf.dummyfunction("""COMPUTED_VALUE"""),44655)</f>
        <v>44655</v>
      </c>
      <c r="C18" s="0" t="n">
        <f aca="false">IFERROR(__xludf.dummyfunction("""COMPUTED_VALUE"""),2)</f>
        <v>2</v>
      </c>
      <c r="D18" s="0" t="str">
        <f aca="false">IFERROR(__xludf.dummyfunction("""COMPUTED_VALUE"""),"AICI202106-6-1| Actualización de la Guía y plan de acción con las nuevas actividades que realiza el programa Conscientemente. (21/10/2021 - 26/11/2021)")</f>
        <v>AICI202106-6-1| Actualización de la Guía y plan de acción con las nuevas actividades que realiza el programa Conscientemente. (21/10/2021 - 26/11/2021)</v>
      </c>
      <c r="E18" s="0" t="str">
        <f aca="false">IFERROR(__xludf.dummyfunction("""COMPUTED_VALUE"""),"Dentro del nuevo instructivo se observa en la línea de salud mental, las diferentes estratégias para el logro de los objetivos del programa que son: el centro de escucha virtual, presencial, grupal y las salas de bienestar")</f>
        <v>Dentro del nuevo instructivo se observa en la línea de salud mental, las diferentes estratégias para el logro de los objetivos del programa que son: el centro de escucha virtual, presencial, grupal y las salas de bienestar</v>
      </c>
      <c r="F18" s="0" t="str">
        <f aca="false">IFERROR(__xludf.dummyfunction("""COMPUTED_VALUE"""),"Completo")</f>
        <v>Completo</v>
      </c>
      <c r="G18" s="0" t="str">
        <f aca="false">IFERROR(__xludf.dummyfunction("""COMPUTED_VALUE"""),"Sí")</f>
        <v>Sí</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1807</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AICI202107-1-1-1</v>
      </c>
      <c r="B4" s="19" t="n">
        <f aca="false">IFERROR(__xludf.dummyfunction("""COMPUTED_VALUE"""),44585)</f>
        <v>44585</v>
      </c>
      <c r="C4" s="0" t="n">
        <f aca="false">IFERROR(__xludf.dummyfunction("""COMPUTED_VALUE"""),1)</f>
        <v>1</v>
      </c>
      <c r="D4" s="0" t="str">
        <f aca="false">IFERROR(__xludf.dummyfunction("""COMPUTED_VALUE"""),"AICI202107-1-1| Socializar con el equipo de trabajo de los hallazgos de la auditoria para implementar en conjunto el plan de mejora continua del proceso (20/10/2021 - 21/10/2021)")</f>
        <v>AICI202107-1-1| Socializar con el equipo de trabajo de los hallazgos de la auditoria para implementar en conjunto el plan de mejora continua del proceso (20/10/2021 - 21/10/2021)</v>
      </c>
      <c r="E4" s="0" t="str">
        <f aca="false">IFERROR(__xludf.dummyfunction("""COMPUTED_VALUE"""),"Se realizó socialización y divulgación el 21 de octubre de 20211 de los hallazgo de la auditoría y se presenta la metodología a realizar  para le equipo de Desarrollo y Bienestar el equipo para el desarrollo de las actividades.")</f>
        <v>Se realizó socialización y divulgación el 21 de octubre de 20211 de los hallazgo de la auditoría y se presenta la metodología a realizar  para le equipo de Desarrollo y Bienestar el equipo para el desarrollo de las actividades.</v>
      </c>
      <c r="F4" s="0" t="str">
        <f aca="false">IFERROR(__xludf.dummyfunction("""COMPUTED_VALUE"""),"Completo")</f>
        <v>Completo</v>
      </c>
    </row>
    <row r="5" customFormat="false" ht="14.25" hidden="false" customHeight="false" outlineLevel="0" collapsed="false">
      <c r="A5" s="18" t="str">
        <f aca="false">IFERROR(MID(D5,1,FIND("|",D5)-1)&amp;"-"&amp;C5,"")</f>
        <v>AICI202107-1-2-1</v>
      </c>
      <c r="B5" s="19" t="n">
        <f aca="false">IFERROR(__xludf.dummyfunction("""COMPUTED_VALUE"""),44585)</f>
        <v>44585</v>
      </c>
      <c r="C5" s="0" t="n">
        <f aca="false">IFERROR(__xludf.dummyfunction("""COMPUTED_VALUE"""),1)</f>
        <v>1</v>
      </c>
      <c r="D5" s="0" t="str">
        <f aca="false">IFERROR(__xludf.dummyfunction("""COMPUTED_VALUE"""),"AICI202107-1-2| Definir una metodologia acorde a las necesidades del proceso que permita garantizar el segumiento y control del proceso de Bienestar y Capacitación (20/10/2021 - 30/12/2021)")</f>
        <v>AICI202107-1-2| Definir una metodologia acorde a las necesidades del proceso que permita garantizar el segumiento y control del proceso de Bienestar y Capacitación (20/10/2021 - 30/12/2021)</v>
      </c>
      <c r="E5" s="0" t="str">
        <f aca="false">IFERROR(__xludf.dummyfunction("""COMPUTED_VALUE"""),"Dentro de la metodología que se implementó durante la reunión de socialización se  hace referencia  de esta actividad y se verifica que  soportes los listados y la divulgación de las condiciones  de las actividades y un informe de las actividades  impleme"&amp;"ntado. ( se tiene informe de gestión  que por tamaño no se puede anexar) ")</f>
        <v>Dentro de la metodología que se implementó durante la reunión de socialización se  hace referencia  de esta actividad y se verifica que  soportes los listados y la divulgación de las condiciones  de las actividades y un informe de las actividades  implementado. ( se tiene informe de gestión  que por tamaño no se puede anexar) </v>
      </c>
      <c r="F5" s="0" t="str">
        <f aca="false">IFERROR(__xludf.dummyfunction("""COMPUTED_VALUE"""),"Completo")</f>
        <v>Completo</v>
      </c>
    </row>
    <row r="6" customFormat="false" ht="14.25" hidden="false" customHeight="false" outlineLevel="0" collapsed="false">
      <c r="A6" s="18" t="str">
        <f aca="false">IFERROR(MID(D6,1,FIND("|",D6)-1)&amp;"-"&amp;C6,"")</f>
        <v>AICI202107-2-1-1</v>
      </c>
      <c r="B6" s="19" t="n">
        <f aca="false">IFERROR(__xludf.dummyfunction("""COMPUTED_VALUE"""),44585)</f>
        <v>44585</v>
      </c>
      <c r="C6" s="0" t="n">
        <f aca="false">IFERROR(__xludf.dummyfunction("""COMPUTED_VALUE"""),1)</f>
        <v>1</v>
      </c>
      <c r="D6" s="0" t="str">
        <f aca="false">IFERROR(__xludf.dummyfunction("""COMPUTED_VALUE"""),"AICI202107-2-1| Implementar un informe e instrumento para el control y segumiento de las actividades de bienestar (20/10/2021 - 30/12/2021)")</f>
        <v>AICI202107-2-1| Implementar un informe e instrumento para el control y segumiento de las actividades de bienestar (20/10/2021 - 30/12/2021)</v>
      </c>
      <c r="E6" s="0" t="str">
        <f aca="false">IFERROR(__xludf.dummyfunction("""COMPUTED_VALUE"""),"En el informe de gestión que se realiza se despliega los resultados de las actividades y se hace retroalimentación de las actividades y los resultados, así como los indicadores y satisfacción ( se tiene soporte del informe pero no se puede cargar por el t"&amp;"amaño del archivo)")</f>
        <v>En el informe de gestión que se realiza se despliega los resultados de las actividades y se hace retroalimentación de las actividades y los resultados, así como los indicadores y satisfacción ( se tiene soporte del informe pero no se puede cargar por el tamaño del archivo)</v>
      </c>
      <c r="F6" s="0" t="str">
        <f aca="false">IFERROR(__xludf.dummyfunction("""COMPUTED_VALUE"""),"Completo")</f>
        <v>Completo</v>
      </c>
    </row>
    <row r="7" customFormat="false" ht="14.25" hidden="false" customHeight="false" outlineLevel="0" collapsed="false">
      <c r="A7" s="18" t="str">
        <f aca="false">IFERROR(MID(D7,1,FIND("|",D7)-1)&amp;"-"&amp;C7,"")</f>
        <v>AICI202107-2-2-1</v>
      </c>
      <c r="B7" s="19" t="n">
        <f aca="false">IFERROR(__xludf.dummyfunction("""COMPUTED_VALUE"""),44585)</f>
        <v>44585</v>
      </c>
      <c r="C7" s="0" t="n">
        <f aca="false">IFERROR(__xludf.dummyfunction("""COMPUTED_VALUE"""),1)</f>
        <v>1</v>
      </c>
      <c r="D7" s="0" t="str">
        <f aca="false">IFERROR(__xludf.dummyfunction("""COMPUTED_VALUE"""),"AICI202107-2-2| Realizar la medicion del cumplimiento de los objetivos de las actividades, con indicadores establecidos en la metodologia implementada por el proceso (20/10/2021 - 30/12/2021)")</f>
        <v>AICI202107-2-2| Realizar la medicion del cumplimiento de los objetivos de las actividades, con indicadores establecidos en la metodologia implementada por el proceso (20/10/2021 - 30/12/2021)</v>
      </c>
      <c r="E7" s="0" t="str">
        <f aca="false">IFERROR(__xludf.dummyfunction("""COMPUTED_VALUE"""),"Durante la planeación de las actividades se establecen la población objetivo y todas las actividades a realizar como los objetivos además dentro de la metodología que se implemento durante la reunión de socialización se  hace referencia  de esta actividad"&amp;" y se verifica que  soportes los listados y la divulgación de las condiciones  de las actividades y un informe de las actividades  implementado.
")</f>
        <v>Durante la planeación de las actividades se establecen la población objetivo y todas las actividades a realizar como los objetivos además dentro de la metodología que se implemento durante la reunión de socialización se  hace referencia  de esta actividad y se verifica que  soportes los listados y la divulgación de las condiciones  de las actividades y un informe de las actividades  implementado.
</v>
      </c>
      <c r="F7" s="0" t="str">
        <f aca="false">IFERROR(__xludf.dummyfunction("""COMPUTED_VALUE"""),"Completo")</f>
        <v>Completo</v>
      </c>
    </row>
    <row r="8" customFormat="false" ht="14.25" hidden="false" customHeight="false" outlineLevel="0" collapsed="false">
      <c r="A8" s="18" t="str">
        <f aca="false">IFERROR(MID(D8,1,FIND("|",D8)-1)&amp;"-"&amp;C8,"")</f>
        <v>AICI202107-3-3-1</v>
      </c>
      <c r="B8" s="19" t="n">
        <f aca="false">IFERROR(__xludf.dummyfunction("""COMPUTED_VALUE"""),44585)</f>
        <v>44585</v>
      </c>
      <c r="C8" s="0" t="n">
        <f aca="false">IFERROR(__xludf.dummyfunction("""COMPUTED_VALUE"""),1)</f>
        <v>1</v>
      </c>
      <c r="D8" s="0" t="str">
        <f aca="false">IFERROR(__xludf.dummyfunction("""COMPUTED_VALUE"""),"AICI202107-3-3| Realizar los cierres y la retroalimentacion de cada una de las actividades (20/10/2021 - 30/12/2021)")</f>
        <v>AICI202107-3-3| Realizar los cierres y la retroalimentacion de cada una de las actividades (20/10/2021 - 30/12/2021)</v>
      </c>
      <c r="E8" s="0" t="str">
        <f aca="false">IFERROR(__xludf.dummyfunction("""COMPUTED_VALUE"""),"En el informe de gestión que se realiza se despliega los resultados de las actividades y se hace retroalimentación de las actividades y los resultados, así como los indicadores y satisfacción ( no se puede Cargar el informe final por el tamaño del archivo"&amp;"  pero se tiene el soporte)")</f>
        <v>En el informe de gestión que se realiza se despliega los resultados de las actividades y se hace retroalimentación de las actividades y los resultados, así como los indicadores y satisfacción ( no se puede Cargar el informe final por el tamaño del archivo  pero se tiene el soporte)</v>
      </c>
      <c r="F8" s="0" t="str">
        <f aca="false">IFERROR(__xludf.dummyfunction("""COMPUTED_VALUE"""),"Completo")</f>
        <v>Completo</v>
      </c>
    </row>
    <row r="9" customFormat="false" ht="14.25" hidden="false" customHeight="false" outlineLevel="0" collapsed="false">
      <c r="A9" s="18" t="str">
        <f aca="false">IFERROR(MID(D9,1,FIND("|",D9)-1)&amp;"-"&amp;C9,"")</f>
        <v>AICI202107-5-1-1</v>
      </c>
      <c r="B9" s="19" t="n">
        <f aca="false">IFERROR(__xludf.dummyfunction("""COMPUTED_VALUE"""),44585)</f>
        <v>44585</v>
      </c>
      <c r="C9" s="0" t="n">
        <f aca="false">IFERROR(__xludf.dummyfunction("""COMPUTED_VALUE"""),1)</f>
        <v>1</v>
      </c>
      <c r="D9" s="0" t="str">
        <f aca="false">IFERROR(__xludf.dummyfunction("""COMPUTED_VALUE"""),"AICI202107-5-1| Capacitacion con el area de Gestion Documental e implementacion de las tablas de retencion documental para el proceso (20/10/2021 - 30/12/2021)")</f>
        <v>AICI202107-5-1| Capacitacion con el area de Gestion Documental e implementacion de las tablas de retencion documental para el proceso (20/10/2021 - 30/12/2021)</v>
      </c>
      <c r="E9" s="0" t="str">
        <f aca="false">IFERROR(__xludf.dummyfunction("""COMPUTED_VALUE"""),"La capacitación no se ha realizado , aunque ya se realizó la solicitud para que se realice, se han realizado acercamientos con gestión documental y ya entregaron el aplicativo de ORFEO.  Queda pendiente realizar la capacitación.")</f>
        <v>La capacitación no se ha realizado , aunque ya se realizó la solicitud para que se realice, se han realizado acercamientos con gestión documental y ya entregaron el aplicativo de ORFEO.  Queda pendiente realizar la capacitación.</v>
      </c>
      <c r="F9" s="0" t="str">
        <f aca="false">IFERROR(__xludf.dummyfunction("""COMPUTED_VALUE"""),"Atrasado")</f>
        <v>Atrasado</v>
      </c>
    </row>
    <row r="10" customFormat="false" ht="14.25" hidden="false" customHeight="false" outlineLevel="0" collapsed="false">
      <c r="A10" s="18" t="str">
        <f aca="false">IFERROR(MID(D10,1,FIND("|",D10)-1)&amp;"-"&amp;C10,"")</f>
        <v>AICI202107-5-1-2</v>
      </c>
      <c r="B10" s="19" t="n">
        <f aca="false">IFERROR(__xludf.dummyfunction("""COMPUTED_VALUE"""),44292)</f>
        <v>44292</v>
      </c>
      <c r="C10" s="0" t="n">
        <f aca="false">IFERROR(__xludf.dummyfunction("""COMPUTED_VALUE"""),2)</f>
        <v>2</v>
      </c>
      <c r="D10" s="0" t="str">
        <f aca="false">IFERROR(__xludf.dummyfunction("""COMPUTED_VALUE"""),"AICI202107-5-1| Capacitacion con el area de Gestion Documental e implementacion de las tablas de retencion documental para el proceso (20/10/2021 - 30/12/2021)")</f>
        <v>AICI202107-5-1| Capacitacion con el area de Gestion Documental e implementacion de las tablas de retencion documental para el proceso (20/10/2021 - 30/12/2021)</v>
      </c>
      <c r="E10" s="0" t="str">
        <f aca="false">IFERROR(__xludf.dummyfunction("""COMPUTED_VALUE"""),"La profesional Gisell Achury del proceso de Desarrollo y Bienestar de la entidad comenta que se realizó la capacitación el 15 de febrero de 2022 a la profesional Sandra Cardona líder de este procedimiento, sin embargo Sandra Cardona se desvinculó de la Su"&amp;"bred Norte, por lo descrito anteriormente se requiere realizar nuevamente capacitación en tablas de retención documental al profesional Andrés Amaya líder y a su grupo de colaboradores. De otra parte se deben implementar las tablas de retención documental"&amp;" de este procedimiento.")</f>
        <v>La profesional Gisell Achury del proceso de Desarrollo y Bienestar de la entidad comenta que se realizó la capacitación el 15 de febrero de 2022 a la profesional Sandra Cardona líder de este procedimiento, sin embargo Sandra Cardona se desvinculó de la Subred Norte, por lo descrito anteriormente se requiere realizar nuevamente capacitación en tablas de retención documental al profesional Andrés Amaya líder y a su grupo de colaboradores. De otra parte se deben implementar las tablas de retención documental de este procedimiento.</v>
      </c>
      <c r="F10" s="0" t="str">
        <f aca="false">IFERROR(__xludf.dummyfunction("""COMPUTED_VALUE"""),"Atrasado")</f>
        <v>Atrasado</v>
      </c>
    </row>
    <row r="11" customFormat="false" ht="14.25" hidden="false" customHeight="false" outlineLevel="0" collapsed="false">
      <c r="A11" s="18" t="str">
        <f aca="false">IFERROR(MID(D11,1,FIND("|",D11)-1)&amp;"-"&amp;C11,"")</f>
        <v>AICI202107-5-1-3</v>
      </c>
      <c r="B11" s="19" t="n">
        <f aca="false">IFERROR(__xludf.dummyfunction("""COMPUTED_VALUE"""),44748)</f>
        <v>44748</v>
      </c>
      <c r="C11" s="0" t="n">
        <f aca="false">IFERROR(__xludf.dummyfunction("""COMPUTED_VALUE"""),3)</f>
        <v>3</v>
      </c>
      <c r="D11" s="0" t="str">
        <f aca="false">IFERROR(__xludf.dummyfunction("""COMPUTED_VALUE"""),"AICI202107-5-1| Capacitacion con el area de Gestion Documental e implementacion de las tablas de retencion documental para el proceso (20/10/2021 - 30/12/2021)")</f>
        <v>AICI202107-5-1| Capacitacion con el area de Gestion Documental e implementacion de las tablas de retencion documental para el proceso (20/10/2021 - 30/12/2021)</v>
      </c>
      <c r="E11" s="0" t="str">
        <f aca="false">IFERROR(__xludf.dummyfunction("""COMPUTED_VALUE"""),"Se está realizando una actualización de las TDR del área y por este motivo cuando se tenga ya consolidada esta información se procederá a realizar la capacitación con el equipo del área ( Se adjunta copia del la TDR que se esta actualizando)")</f>
        <v>Se está realizando una actualización de las TDR del área y por este motivo cuando se tenga ya consolidada esta información se procederá a realizar la capacitación con el equipo del área ( Se adjunta copia del la TDR que se esta actualizando)</v>
      </c>
      <c r="F11" s="0" t="str">
        <f aca="false">IFERROR(__xludf.dummyfunction("""COMPUTED_VALUE"""),"Atrasado")</f>
        <v>Atrasado</v>
      </c>
    </row>
    <row r="12" customFormat="false" ht="14.25" hidden="false" customHeight="false" outlineLevel="0" collapsed="false">
      <c r="A12" s="18" t="str">
        <f aca="false">IFERROR(MID(D12,1,FIND("|",D12)-1)&amp;"-"&amp;C12,"")</f>
        <v>AICI202107-5-1-4</v>
      </c>
      <c r="B12" s="19" t="n">
        <f aca="false">IFERROR(__xludf.dummyfunction("""COMPUTED_VALUE"""),44841)</f>
        <v>44841</v>
      </c>
      <c r="C12" s="0" t="n">
        <f aca="false">IFERROR(__xludf.dummyfunction("""COMPUTED_VALUE"""),4)</f>
        <v>4</v>
      </c>
      <c r="D12" s="0" t="str">
        <f aca="false">IFERROR(__xludf.dummyfunction("""COMPUTED_VALUE"""),"AICI202107-5-1| Capacitacion con el area de Gestion Documental e implementacion de las tablas de retencion documental para el proceso (20/10/2021 - 30/12/2021)")</f>
        <v>AICI202107-5-1| Capacitacion con el area de Gestion Documental e implementacion de las tablas de retencion documental para el proceso (20/10/2021 - 30/12/2021)</v>
      </c>
      <c r="E12" s="0" t="str">
        <f aca="false">IFERROR(__xludf.dummyfunction("""COMPUTED_VALUE"""),"Por parte del proceso de Bienestar, no se viene dando cumplimiento a la implementación de las tablas de retención documental para el proceso.  Por lo tanto, la acción de mejoramiento está pendiente de realizar y medir su efectividad")</f>
        <v>Por parte del proceso de Bienestar, no se viene dando cumplimiento a la implementación de las tablas de retención documental para el proceso.  Por lo tanto, la acción de mejoramiento está pendiente de realizar y medir su efectividad</v>
      </c>
      <c r="F12" s="0" t="str">
        <f aca="false">IFERROR(__xludf.dummyfunction("""COMPUTED_VALUE"""),"Atrasado")</f>
        <v>Atrasado</v>
      </c>
    </row>
    <row r="13" customFormat="false" ht="14.25" hidden="false" customHeight="false" outlineLevel="0" collapsed="false">
      <c r="A13" s="18" t="str">
        <f aca="false">IFERROR(MID(D13,1,FIND("|",D13)-1)&amp;"-"&amp;C13,"")</f>
        <v>AICI202107-5-1-5</v>
      </c>
      <c r="B13" s="19" t="n">
        <f aca="false">IFERROR(__xludf.dummyfunction("""COMPUTED_VALUE"""),44929)</f>
        <v>44929</v>
      </c>
      <c r="C13" s="0" t="n">
        <f aca="false">IFERROR(__xludf.dummyfunction("""COMPUTED_VALUE"""),5)</f>
        <v>5</v>
      </c>
      <c r="D13" s="0" t="str">
        <f aca="false">IFERROR(__xludf.dummyfunction("""COMPUTED_VALUE"""),"AICI202107-5-1| Capacitacion con el area de Gestion Documental e implementacion de las tablas de retencion documental para el proceso (20/10/2021 - 30/12/2021)")</f>
        <v>AICI202107-5-1| Capacitacion con el area de Gestion Documental e implementacion de las tablas de retencion documental para el proceso (20/10/2021 - 30/12/2021)</v>
      </c>
      <c r="E13" s="0" t="str">
        <f aca="false">IFERROR(__xludf.dummyfunction("""COMPUTED_VALUE"""),"En los meses de agosto y septiembre de 2022 se capacitaron 3 funcionarias del área de bienestar en el Subsistema Interno de Gestión Documental y Archivo (SIGA) C5 2022 con una duración de 40 horas.")</f>
        <v>En los meses de agosto y septiembre de 2022 se capacitaron 3 funcionarias del área de bienestar en el Subsistema Interno de Gestión Documental y Archivo (SIGA) C5 2022 con una duración de 40 horas.</v>
      </c>
      <c r="F13" s="0" t="str">
        <f aca="false">IFERROR(__xludf.dummyfunction("""COMPUTED_VALUE"""),"Completo")</f>
        <v>Completo</v>
      </c>
      <c r="G13" s="0" t="str">
        <f aca="false">IFERROR(__xludf.dummyfunction("""COMPUTED_VALUE"""),"Sí")</f>
        <v>Sí</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5" min="5" style="0" width="23.42"/>
  </cols>
  <sheetData>
    <row r="1" customFormat="false" ht="12.75" hidden="false" customHeight="false" outlineLevel="0" collapsed="false">
      <c r="A1" s="13" t="s">
        <v>1808</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SIPI202108-1-1-1</v>
      </c>
      <c r="B4" s="19" t="n">
        <f aca="false">IFERROR(__xludf.dummyfunction("""COMPUTED_VALUE"""),44488)</f>
        <v>44488</v>
      </c>
      <c r="C4" s="0" t="n">
        <f aca="false">IFERROR(__xludf.dummyfunction("""COMPUTED_VALUE"""),1)</f>
        <v>1</v>
      </c>
      <c r="D4" s="0" t="str">
        <f aca="false">IFERROR(__xludf.dummyfunction("""COMPUTED_VALUE"""),"SIPI202108-1-1| Implementación y puesta en marcha del Software (02/01/2021 - 01/02/2021)")</f>
        <v>SIPI202108-1-1| Implementación y puesta en marcha del Software (02/01/2021 - 01/02/2021)</v>
      </c>
      <c r="E4" s="0" t="str">
        <f aca="false">IFERROR(__xludf.dummyfunction("""COMPUTED_VALUE"""),"Se evidencia retrasos en la implementación, no hay par por sistemas. Se evidencia que la primera nomina se corrió en Sinergy en el mes de enero de 2021y se migro la información de 18 meses de histórico. La fecha de terminación esta errada un software no s"&amp;"e implementa en un mes.")</f>
        <v>Se evidencia retrasos en la implementación, no hay par por sistemas. Se evidencia que la primera nomina se corrió en Sinergy en el mes de enero de 2021y se migro la información de 18 meses de histórico. La fecha de terminación esta errada un software no se implementa en un mes.</v>
      </c>
      <c r="F4" s="0" t="str">
        <f aca="false">IFERROR(__xludf.dummyfunction("""COMPUTED_VALUE"""),"En desarrollo")</f>
        <v>En desarrollo</v>
      </c>
    </row>
    <row r="5" customFormat="false" ht="14.25" hidden="false" customHeight="false" outlineLevel="0" collapsed="false">
      <c r="A5" s="18" t="str">
        <f aca="false">IFERROR(MID(D5,1,FIND("|",D5)-1)&amp;"-"&amp;C5,"")</f>
        <v>SIPI202108-2-1-1</v>
      </c>
      <c r="B5" s="19" t="n">
        <f aca="false">IFERROR(__xludf.dummyfunction("""COMPUTED_VALUE"""),44488)</f>
        <v>44488</v>
      </c>
      <c r="C5" s="0" t="n">
        <f aca="false">IFERROR(__xludf.dummyfunction("""COMPUTED_VALUE"""),1)</f>
        <v>1</v>
      </c>
      <c r="D5" s="0" t="str">
        <f aca="false">IFERROR(__xludf.dummyfunction("""COMPUTED_VALUE"""),"SIPI202108-2-1| Implementación del software de nómina Sinergy, capacitación y manejo del mismo por parte de todos los técnicos de nómina (02/01/2021 - 01/04/2021)")</f>
        <v>SIPI202108-2-1| Implementación del software de nómina Sinergy, capacitación y manejo del mismo por parte de todos los técnicos de nómina (02/01/2021 - 01/04/2021)</v>
      </c>
      <c r="E5" s="0" t="str">
        <f aca="false">IFERROR(__xludf.dummyfunction("""COMPUTED_VALUE"""),"Se realizaron las capacitaciones por parte del proveedor")</f>
        <v>Se realizaron las capacitaciones por parte del proveedor</v>
      </c>
      <c r="F5" s="0" t="str">
        <f aca="false">IFERROR(__xludf.dummyfunction("""COMPUTED_VALUE"""),"Completo")</f>
        <v>Completo</v>
      </c>
    </row>
    <row r="6" customFormat="false" ht="14.25" hidden="false" customHeight="false" outlineLevel="0" collapsed="false">
      <c r="A6" s="18" t="str">
        <f aca="false">IFERROR(MID(D6,1,FIND("|",D6)-1)&amp;"-"&amp;C6,"")</f>
        <v>SIPI202108-3-1-1</v>
      </c>
      <c r="B6" s="19" t="n">
        <f aca="false">IFERROR(__xludf.dummyfunction("""COMPUTED_VALUE"""),44488)</f>
        <v>44488</v>
      </c>
      <c r="C6" s="0" t="n">
        <f aca="false">IFERROR(__xludf.dummyfunction("""COMPUTED_VALUE"""),1)</f>
        <v>1</v>
      </c>
      <c r="D6" s="0" t="str">
        <f aca="false">IFERROR(__xludf.dummyfunction("""COMPUTED_VALUE"""),"SIPI202108-3-1| Parametrización de todos los conceptos en el sistema de Nómina Sinergy … (02/01/2021 - 01/09/2021)")</f>
        <v>SIPI202108-3-1| Parametrización de todos los conceptos en el sistema de Nómina Sinergy … (02/01/2021 - 01/09/2021)</v>
      </c>
      <c r="E6" s="0" t="str">
        <f aca="false">IFERROR(__xludf.dummyfunction("""COMPUTED_VALUE"""),"Falta parametrización, se requiere 18 meses para revisar la ejecución total de la nómina. La fecha de terminación de la actividad esta errada.")</f>
        <v>Falta parametrización, se requiere 18 meses para revisar la ejecución total de la nómina. La fecha de terminación de la actividad esta errada.</v>
      </c>
      <c r="F6" s="0" t="str">
        <f aca="false">IFERROR(__xludf.dummyfunction("""COMPUTED_VALUE"""),"En desarrollo")</f>
        <v>En desarrollo</v>
      </c>
    </row>
    <row r="7" customFormat="false" ht="14.25" hidden="false" customHeight="false" outlineLevel="0" collapsed="false">
      <c r="A7" s="18" t="str">
        <f aca="false">IFERROR(MID(D7,1,FIND("|",D7)-1)&amp;"-"&amp;C7,"")</f>
        <v>SIPI202108-4-1-1</v>
      </c>
      <c r="B7" s="19" t="n">
        <f aca="false">IFERROR(__xludf.dummyfunction("""COMPUTED_VALUE"""),44488)</f>
        <v>44488</v>
      </c>
      <c r="C7" s="0" t="n">
        <f aca="false">IFERROR(__xludf.dummyfunction("""COMPUTED_VALUE"""),1)</f>
        <v>1</v>
      </c>
      <c r="D7" s="0" t="str">
        <f aca="false">IFERROR(__xludf.dummyfunction("""COMPUTED_VALUE"""),"SIPI202108-4-1| Elaborar y publicar la circular e instructivo sobre fechas de corte de novedades y sensibilización (01/05/2020 - 01/08/2021)")</f>
        <v>SIPI202108-4-1| Elaborar y publicar la circular e instructivo sobre fechas de corte de novedades y sensibilización (01/05/2020 - 01/08/2021)</v>
      </c>
      <c r="E7" s="0" t="str">
        <f aca="false">IFERROR(__xludf.dummyfunction("""COMPUTED_VALUE"""),"Se ha socializado manuales por medio de correo electrónico e intranet.")</f>
        <v>Se ha socializado manuales por medio de correo electrónico e intranet.</v>
      </c>
      <c r="F7" s="0" t="str">
        <f aca="false">IFERROR(__xludf.dummyfunction("""COMPUTED_VALUE"""),"Completo")</f>
        <v>Completo</v>
      </c>
    </row>
    <row r="8" customFormat="false" ht="14.25" hidden="false" customHeight="false" outlineLevel="0" collapsed="false">
      <c r="A8" s="18" t="str">
        <f aca="false">IFERROR(MID(D8,1,FIND("|",D8)-1)&amp;"-"&amp;C8,"")</f>
        <v>SIPI202108-5-1-1</v>
      </c>
      <c r="B8" s="19" t="n">
        <f aca="false">IFERROR(__xludf.dummyfunction("""COMPUTED_VALUE"""),44488)</f>
        <v>44488</v>
      </c>
      <c r="C8" s="0" t="n">
        <f aca="false">IFERROR(__xludf.dummyfunction("""COMPUTED_VALUE"""),1)</f>
        <v>1</v>
      </c>
      <c r="D8" s="0" t="str">
        <f aca="false">IFERROR(__xludf.dummyfunction("""COMPUTED_VALUE"""),"SIPI202108-5-1| Reporte inmediato a la Subgerencia Corporativa. (05/03/2021 - 01/04/2021)")</f>
        <v>SIPI202108-5-1| Reporte inmediato a la Subgerencia Corporativa. (05/03/2021 - 01/04/2021)</v>
      </c>
      <c r="E8" s="0" t="str">
        <f aca="false">IFERROR(__xludf.dummyfunction("""COMPUTED_VALUE"""),"Una vez se detectaron los errores se reporto de inmediato a la Subgerencia Corporativa. Se evidencia $160 millones de ajuste. Hay problemas con las cesantías de ley 50 se esta en espera del concepto Jurídico.")</f>
        <v>Una vez se detectaron los errores se reporto de inmediato a la Subgerencia Corporativa. Se evidencia $160 millones de ajuste. Hay problemas con las cesantías de ley 50 se esta en espera del concepto Jurídico.</v>
      </c>
      <c r="F8" s="0" t="str">
        <f aca="false">IFERROR(__xludf.dummyfunction("""COMPUTED_VALUE"""),"Completo")</f>
        <v>Completo</v>
      </c>
    </row>
    <row r="9" customFormat="false" ht="14.25" hidden="false" customHeight="false" outlineLevel="0" collapsed="false">
      <c r="A9" s="18" t="str">
        <f aca="false">IFERROR(MID(D9,1,FIND("|",D9)-1)&amp;"-"&amp;C9,"")</f>
        <v>SIPI202108-7-1-1</v>
      </c>
      <c r="B9" s="19" t="n">
        <f aca="false">IFERROR(__xludf.dummyfunction("""COMPUTED_VALUE"""),44488)</f>
        <v>44488</v>
      </c>
      <c r="C9" s="0" t="n">
        <f aca="false">IFERROR(__xludf.dummyfunction("""COMPUTED_VALUE"""),1)</f>
        <v>1</v>
      </c>
      <c r="D9" s="0" t="str">
        <f aca="false">IFERROR(__xludf.dummyfunction("""COMPUTED_VALUE"""),"SIPI202108-7-1| Realizar sesiones de trabajo con la Dirección Financiera (Proceso de contabilidad) ,,, (02/01/2021 - 30/06/2021)")</f>
        <v>SIPI202108-7-1| Realizar sesiones de trabajo con la Dirección Financiera (Proceso de contabilidad) ,,, (02/01/2021 - 30/06/2021)</v>
      </c>
      <c r="E9" s="0" t="str">
        <f aca="false">IFERROR(__xludf.dummyfunction("""COMPUTED_VALUE"""),"se han realizado reuniones con la Dirección Financiera pero a la fecha no esta claro el proceso con las provisiones. Existe un ticket en Sinergy para l calculo de las provisiones.")</f>
        <v>se han realizado reuniones con la Dirección Financiera pero a la fecha no esta claro el proceso con las provisiones. Existe un ticket en Sinergy para l calculo de las provisiones.</v>
      </c>
      <c r="F9" s="0" t="str">
        <f aca="false">IFERROR(__xludf.dummyfunction("""COMPUTED_VALUE"""),"Atrasado")</f>
        <v>Atrasado</v>
      </c>
    </row>
    <row r="10" customFormat="false" ht="14.25" hidden="false" customHeight="false" outlineLevel="0" collapsed="false">
      <c r="A10" s="18" t="str">
        <f aca="false">IFERROR(MID(D10,1,FIND("|",D10)-1)&amp;"-"&amp;C10,"")</f>
        <v>SIPI202108-8-1-1</v>
      </c>
      <c r="B10" s="19" t="n">
        <f aca="false">IFERROR(__xludf.dummyfunction("""COMPUTED_VALUE"""),44488)</f>
        <v>44488</v>
      </c>
      <c r="C10" s="0" t="n">
        <f aca="false">IFERROR(__xludf.dummyfunction("""COMPUTED_VALUE"""),1)</f>
        <v>1</v>
      </c>
      <c r="D10" s="0" t="str">
        <f aca="false">IFERROR(__xludf.dummyfunction("""COMPUTED_VALUE"""),"SIPI202108-8-1| Realizar el cálculo real de los valores a pagar según ajustes, para los colaboradores que tengan esta novedad (02/01/2021 - 30/08/2021)")</f>
        <v>SIPI202108-8-1| Realizar el cálculo real de los valores a pagar según ajustes, para los colaboradores que tengan esta novedad (02/01/2021 - 30/08/2021)</v>
      </c>
      <c r="E10" s="0" t="str">
        <f aca="false">IFERROR(__xludf.dummyfunction("""COMPUTED_VALUE"""),"Se realizó calculo de los valores y se efectuó el pago.")</f>
        <v>Se realizó calculo de los valores y se efectuó el pago.</v>
      </c>
      <c r="F10" s="0" t="str">
        <f aca="false">IFERROR(__xludf.dummyfunction("""COMPUTED_VALUE"""),"Completo")</f>
        <v>Completo</v>
      </c>
    </row>
    <row r="11" customFormat="false" ht="14.25" hidden="false" customHeight="false" outlineLevel="0" collapsed="false">
      <c r="A11" s="18" t="str">
        <f aca="false">IFERROR(MID(D11,1,FIND("|",D11)-1)&amp;"-"&amp;C11,"")</f>
        <v>SIPI202108-9-1-1</v>
      </c>
      <c r="B11" s="19" t="n">
        <f aca="false">IFERROR(__xludf.dummyfunction("""COMPUTED_VALUE"""),44488)</f>
        <v>44488</v>
      </c>
      <c r="C11" s="0" t="n">
        <f aca="false">IFERROR(__xludf.dummyfunction("""COMPUTED_VALUE"""),1)</f>
        <v>1</v>
      </c>
      <c r="D11" s="0" t="str">
        <f aca="false">IFERROR(__xludf.dummyfunction("""COMPUTED_VALUE"""),"SIPI202108-9-1| Identificar y verificar el cálculo de los casos de valores pagados a funcionarios por esta novedad. (01/04/2021 - 30/07/2021)")</f>
        <v>SIPI202108-9-1| Identificar y verificar el cálculo de los casos de valores pagados a funcionarios por esta novedad. (01/04/2021 - 30/07/2021)</v>
      </c>
      <c r="E11" s="0" t="str">
        <f aca="false">IFERROR(__xludf.dummyfunction("""COMPUTED_VALUE"""),"Se estableció el valor pagado por concepto de salarios y otros factores salariales a los funcionarios con incapacidades mayores a 180 días.")</f>
        <v>Se estableció el valor pagado por concepto de salarios y otros factores salariales a los funcionarios con incapacidades mayores a 180 días.</v>
      </c>
      <c r="F11" s="0" t="str">
        <f aca="false">IFERROR(__xludf.dummyfunction("""COMPUTED_VALUE"""),"Completo")</f>
        <v>Completo</v>
      </c>
    </row>
    <row r="12" customFormat="false" ht="14.25" hidden="false" customHeight="false" outlineLevel="0" collapsed="false">
      <c r="A12" s="18" t="str">
        <f aca="false">IFERROR(MID(D12,1,FIND("|",D12)-1)&amp;"-"&amp;C12,"")</f>
        <v>SIPI202108-9-1-1</v>
      </c>
      <c r="B12" s="19" t="n">
        <f aca="false">IFERROR(__xludf.dummyfunction("""COMPUTED_VALUE"""),44488)</f>
        <v>44488</v>
      </c>
      <c r="C12" s="0" t="n">
        <f aca="false">IFERROR(__xludf.dummyfunction("""COMPUTED_VALUE"""),1)</f>
        <v>1</v>
      </c>
      <c r="D12" s="0" t="str">
        <f aca="false">IFERROR(__xludf.dummyfunction("""COMPUTED_VALUE"""),"SIPI202108-9-1| Identificar y verificar el cálculo de los casos de valores pagados a funcionarios por esta novedad. (01/04/2021 - 30/07/2021)")</f>
        <v>SIPI202108-9-1| Identificar y verificar el cálculo de los casos de valores pagados a funcionarios por esta novedad. (01/04/2021 - 30/07/2021)</v>
      </c>
      <c r="E12" s="0" t="str">
        <f aca="false">IFERROR(__xludf.dummyfunction("""COMPUTED_VALUE"""),"Se realizo la parametrización y esta en periodo de reclamación. ")</f>
        <v>Se realizo la parametrización y esta en periodo de reclamación. </v>
      </c>
      <c r="F12" s="0" t="str">
        <f aca="false">IFERROR(__xludf.dummyfunction("""COMPUTED_VALUE"""),"Completo")</f>
        <v>Completo</v>
      </c>
    </row>
    <row r="13" customFormat="false" ht="14.25" hidden="false" customHeight="false" outlineLevel="0" collapsed="false">
      <c r="A13" s="18" t="str">
        <f aca="false">IFERROR(MID(D13,1,FIND("|",D13)-1)&amp;"-"&amp;C13,"")</f>
        <v>SIPI202108-10-1-1</v>
      </c>
      <c r="B13" s="19" t="n">
        <f aca="false">IFERROR(__xludf.dummyfunction("""COMPUTED_VALUE"""),44488)</f>
        <v>44488</v>
      </c>
      <c r="C13" s="0" t="n">
        <f aca="false">IFERROR(__xludf.dummyfunction("""COMPUTED_VALUE"""),1)</f>
        <v>1</v>
      </c>
      <c r="D13" s="0" t="str">
        <f aca="false">IFERROR(__xludf.dummyfunction("""COMPUTED_VALUE"""),"SIPI202108-10-1| Incluir en la parametrización de este concepto de forma automática dentro del sistema de Nómina … (01/03/2021 - 30/04/2021)")</f>
        <v>SIPI202108-10-1| Incluir en la parametrización de este concepto de forma automática dentro del sistema de Nómina … (01/03/2021 - 30/04/2021)</v>
      </c>
      <c r="E13" s="0" t="str">
        <f aca="false">IFERROR(__xludf.dummyfunction("""COMPUTED_VALUE"""),"Se incluyo el ausentismo en el sistema. ")</f>
        <v>Se incluyo el ausentismo en el sistema. </v>
      </c>
      <c r="F13" s="0" t="str">
        <f aca="false">IFERROR(__xludf.dummyfunction("""COMPUTED_VALUE"""),"Completo")</f>
        <v>Completo</v>
      </c>
    </row>
    <row r="14" customFormat="false" ht="14.25" hidden="false" customHeight="false" outlineLevel="0" collapsed="false">
      <c r="A14" s="18" t="str">
        <f aca="false">IFERROR(MID(D14,1,FIND("|",D14)-1)&amp;"-"&amp;C14,"")</f>
        <v>SIPI202108-11-1-1</v>
      </c>
      <c r="B14" s="19" t="n">
        <f aca="false">IFERROR(__xludf.dummyfunction("""COMPUTED_VALUE"""),44488)</f>
        <v>44488</v>
      </c>
      <c r="C14" s="0" t="n">
        <f aca="false">IFERROR(__xludf.dummyfunction("""COMPUTED_VALUE"""),1)</f>
        <v>1</v>
      </c>
      <c r="D14" s="0" t="str">
        <f aca="false">IFERROR(__xludf.dummyfunction("""COMPUTED_VALUE"""),"SIPI202108-11-1| Verificación de cumplimiento de requisitos de la colaboradora y proceder a su pago inmediato. (10/01/2021 - 01/03/2021)")</f>
        <v>SIPI202108-11-1| Verificación de cumplimiento de requisitos de la colaboradora y proceder a su pago inmediato. (10/01/2021 - 01/03/2021)</v>
      </c>
      <c r="E14" s="0" t="str">
        <f aca="false">IFERROR(__xludf.dummyfunction("""COMPUTED_VALUE"""),"La técnica operativa de quinquenios se comunica con el trabajador oficial y le informa que debe solicitar el quinquenio.")</f>
        <v>La técnica operativa de quinquenios se comunica con el trabajador oficial y le informa que debe solicitar el quinquenio.</v>
      </c>
      <c r="F14" s="0" t="str">
        <f aca="false">IFERROR(__xludf.dummyfunction("""COMPUTED_VALUE"""),"Completo")</f>
        <v>Completo</v>
      </c>
    </row>
    <row r="15" customFormat="false" ht="14.25" hidden="false" customHeight="false" outlineLevel="0" collapsed="false">
      <c r="A15" s="18" t="str">
        <f aca="false">IFERROR(MID(D15,1,FIND("|",D15)-1)&amp;"-"&amp;C15,"")</f>
        <v>SIPI202108-12-1-1</v>
      </c>
      <c r="B15" s="19" t="n">
        <f aca="false">IFERROR(__xludf.dummyfunction("""COMPUTED_VALUE"""),44488)</f>
        <v>44488</v>
      </c>
      <c r="C15" s="0" t="n">
        <f aca="false">IFERROR(__xludf.dummyfunction("""COMPUTED_VALUE"""),1)</f>
        <v>1</v>
      </c>
      <c r="D15" s="0" t="str">
        <f aca="false">IFERROR(__xludf.dummyfunction("""COMPUTED_VALUE"""),"SIPI202108-12-1| Realizar verificación de los cargos y con sus respectivas asignaciones y la respectiva corrección de … (30/01/2021 - 30/01/2021)")</f>
        <v>SIPI202108-12-1| Realizar verificación de los cargos y con sus respectivas asignaciones y la respectiva corrección de … (30/01/2021 - 30/01/2021)</v>
      </c>
      <c r="E15" s="0" t="str">
        <f aca="false">IFERROR(__xludf.dummyfunction("""COMPUTED_VALUE"""),"Se realizó la validación de los cargos y de sus asignaciones. Se realizo la corrección de los actos administrativos.")</f>
        <v>Se realizó la validación de los cargos y de sus asignaciones. Se realizo la corrección de los actos administrativos.</v>
      </c>
      <c r="F15" s="0" t="str">
        <f aca="false">IFERROR(__xludf.dummyfunction("""COMPUTED_VALUE"""),"Completo")</f>
        <v>Completo</v>
      </c>
    </row>
    <row r="16" customFormat="false" ht="14.25" hidden="false" customHeight="false" outlineLevel="0" collapsed="false">
      <c r="A16" s="18" t="str">
        <f aca="false">IFERROR(MID(D16,1,FIND("|",D16)-1)&amp;"-"&amp;C16,"")</f>
        <v>SIPI202108-13-1-1</v>
      </c>
      <c r="B16" s="19" t="n">
        <f aca="false">IFERROR(__xludf.dummyfunction("""COMPUTED_VALUE"""),44488)</f>
        <v>44488</v>
      </c>
      <c r="C16" s="0" t="n">
        <f aca="false">IFERROR(__xludf.dummyfunction("""COMPUTED_VALUE"""),1)</f>
        <v>1</v>
      </c>
      <c r="D16" s="0" t="str">
        <f aca="false">IFERROR(__xludf.dummyfunction("""COMPUTED_VALUE"""),"SIPI202108-13-1| Realizar los ajustes y pagos correspondientes. (02/02/2021 - 30/06/2021)")</f>
        <v>SIPI202108-13-1| Realizar los ajustes y pagos correspondientes. (02/02/2021 - 30/06/2021)</v>
      </c>
      <c r="E16" s="0" t="str">
        <f aca="false">IFERROR(__xludf.dummyfunction("""COMPUTED_VALUE"""),"Solucionado con los funcionarios.")</f>
        <v>Solucionado con los funcionarios.</v>
      </c>
      <c r="F16" s="0" t="str">
        <f aca="false">IFERROR(__xludf.dummyfunction("""COMPUTED_VALUE"""),"Completo")</f>
        <v>Completo</v>
      </c>
    </row>
    <row r="17" customFormat="false" ht="14.25" hidden="false" customHeight="false" outlineLevel="0" collapsed="false">
      <c r="A17" s="18" t="str">
        <f aca="false">IFERROR(MID(D17,1,FIND("|",D17)-1)&amp;"-"&amp;C17,"")</f>
        <v>SIPI202108-14-1-1</v>
      </c>
      <c r="B17" s="19" t="n">
        <f aca="false">IFERROR(__xludf.dummyfunction("""COMPUTED_VALUE"""),44488)</f>
        <v>44488</v>
      </c>
      <c r="C17" s="0" t="n">
        <f aca="false">IFERROR(__xludf.dummyfunction("""COMPUTED_VALUE"""),1)</f>
        <v>1</v>
      </c>
      <c r="D17" s="0" t="str">
        <f aca="false">IFERROR(__xludf.dummyfunction("""COMPUTED_VALUE"""),"SIPI202108-14-1| Comunicar a Cooperativas y entidades financieras sobre únicas personas autorizadas para la aprobación … (01/02/2021 - 15/04/2021)")</f>
        <v>SIPI202108-14-1| Comunicar a Cooperativas y entidades financieras sobre únicas personas autorizadas para la aprobación … (01/02/2021 - 15/04/2021)</v>
      </c>
      <c r="E17" s="0" t="str">
        <f aca="false">IFERROR(__xludf.dummyfunction("""COMPUTED_VALUE"""),"Se informo a las cooperativas y a la Subred Norte que las únicas personas autorizadas para aprobar las libranzas y los descuentos son la Subgerencia Corporativa y la Dirección de Talento Humano.")</f>
        <v>Se informo a las cooperativas y a la Subred Norte que las únicas personas autorizadas para aprobar las libranzas y los descuentos son la Subgerencia Corporativa y la Dirección de Talento Humano.</v>
      </c>
      <c r="F17" s="0" t="str">
        <f aca="false">IFERROR(__xludf.dummyfunction("""COMPUTED_VALUE"""),"Completo")</f>
        <v>Completo</v>
      </c>
    </row>
    <row r="18" customFormat="false" ht="14.25" hidden="false" customHeight="false" outlineLevel="0" collapsed="false">
      <c r="A18" s="18" t="str">
        <f aca="false">IFERROR(MID(D18,1,FIND("|",D18)-1)&amp;"-"&amp;C18,"")</f>
        <v>SIPI202108-15-1-1</v>
      </c>
      <c r="B18" s="19" t="n">
        <f aca="false">IFERROR(__xludf.dummyfunction("""COMPUTED_VALUE"""),44488)</f>
        <v>44488</v>
      </c>
      <c r="C18" s="0" t="n">
        <f aca="false">IFERROR(__xludf.dummyfunction("""COMPUTED_VALUE"""),1)</f>
        <v>1</v>
      </c>
      <c r="D18" s="0" t="str">
        <f aca="false">IFERROR(__xludf.dummyfunction("""COMPUTED_VALUE"""),"SIPI202108-15-1| Validar en la base de datos de nómina personal con más de 2 descuentos con la misma compañía (01/03/2021 - 01/01/2021)")</f>
        <v>SIPI202108-15-1| Validar en la base de datos de nómina personal con más de 2 descuentos con la misma compañía (01/03/2021 - 01/01/2021)</v>
      </c>
      <c r="E18" s="0" t="str">
        <f aca="false">IFERROR(__xludf.dummyfunction("""COMPUTED_VALUE"""),"Se valido la base de datos de de los funcionarios con mas de 2 descuentos en la misma cooperativa")</f>
        <v>Se valido la base de datos de de los funcionarios con mas de 2 descuentos en la misma cooperativa</v>
      </c>
      <c r="F18" s="0" t="str">
        <f aca="false">IFERROR(__xludf.dummyfunction("""COMPUTED_VALUE"""),"Completo")</f>
        <v>Completo</v>
      </c>
    </row>
    <row r="19" customFormat="false" ht="14.25" hidden="false" customHeight="false" outlineLevel="0" collapsed="false">
      <c r="A19" s="18" t="str">
        <f aca="false">IFERROR(MID(D19,1,FIND("|",D19)-1)&amp;"-"&amp;C19,"")</f>
        <v>SIPI202108-15-2-1</v>
      </c>
      <c r="B19" s="19" t="n">
        <f aca="false">IFERROR(__xludf.dummyfunction("""COMPUTED_VALUE"""),44488)</f>
        <v>44488</v>
      </c>
      <c r="C19" s="0" t="n">
        <f aca="false">IFERROR(__xludf.dummyfunction("""COMPUTED_VALUE"""),1)</f>
        <v>1</v>
      </c>
      <c r="D19" s="0" t="str">
        <f aca="false">IFERROR(__xludf.dummyfunction("""COMPUTED_VALUE"""),"SIPI202108-15-2| Verificar y validar de cada uno de los convenios de libranza aspectos como vigencias, beneficios, y … (01/03/2021 - 01/01/2021)")</f>
        <v>SIPI202108-15-2| Verificar y validar de cada uno de los convenios de libranza aspectos como vigencias, beneficios, y … (01/03/2021 - 01/01/2021)</v>
      </c>
      <c r="E19" s="0" t="str">
        <f aca="false">IFERROR(__xludf.dummyfunction("""COMPUTED_VALUE"""),"Se revisaron cada uno de los convenios de libranzas vigentes con sus especificaciones de vigencia, beneficios, etc.")</f>
        <v>Se revisaron cada uno de los convenios de libranzas vigentes con sus especificaciones de vigencia, beneficios, etc.</v>
      </c>
      <c r="F19" s="0" t="str">
        <f aca="false">IFERROR(__xludf.dummyfunction("""COMPUTED_VALUE"""),"Completo")</f>
        <v>Completo</v>
      </c>
    </row>
    <row r="20" customFormat="false" ht="14.25" hidden="false" customHeight="false" outlineLevel="0" collapsed="false">
      <c r="A20" s="18" t="str">
        <f aca="false">IFERROR(MID(D20,1,FIND("|",D20)-1)&amp;"-"&amp;C20,"")</f>
        <v>SIPI202108-15-3-1</v>
      </c>
      <c r="B20" s="19" t="n">
        <f aca="false">IFERROR(__xludf.dummyfunction("""COMPUTED_VALUE"""),44488)</f>
        <v>44488</v>
      </c>
      <c r="C20" s="0" t="n">
        <f aca="false">IFERROR(__xludf.dummyfunction("""COMPUTED_VALUE"""),1)</f>
        <v>1</v>
      </c>
      <c r="D20" s="0" t="str">
        <f aca="false">IFERROR(__xludf.dummyfunction("""COMPUTED_VALUE"""),"SIPI202108-15-3| Realizar las respectivas actualizaciones y propuestas nuevas vigencias a los convenios para libranzas de los colaboradores (01/03/2021 - 01/01/2021)")</f>
        <v>SIPI202108-15-3| Realizar las respectivas actualizaciones y propuestas nuevas vigencias a los convenios para libranzas de los colaboradores (01/03/2021 - 01/01/2021)</v>
      </c>
      <c r="E20" s="0" t="str">
        <f aca="false">IFERROR(__xludf.dummyfunction("""COMPUTED_VALUE"""),"Se mantiene actualizados a los funcionarios de los convenios suscritos por la Subred y de sus condiciones. Se socializa por medio del correo.  Se ha mejorado con gran parte de los funcionarios.")</f>
        <v>Se mantiene actualizados a los funcionarios de los convenios suscritos por la Subred y de sus condiciones. Se socializa por medio del correo.  Se ha mejorado con gran parte de los funcionarios.</v>
      </c>
      <c r="F20" s="0" t="str">
        <f aca="false">IFERROR(__xludf.dummyfunction("""COMPUTED_VALUE"""),"Completo")</f>
        <v>Completo</v>
      </c>
    </row>
    <row r="21" customFormat="false" ht="14.25" hidden="false" customHeight="false" outlineLevel="0" collapsed="false">
      <c r="A21" s="18" t="str">
        <f aca="false">IFERROR(MID(D21,1,FIND("|",D21)-1)&amp;"-"&amp;C21,"")</f>
        <v>SIPI202108-16-1-1</v>
      </c>
      <c r="B21" s="19" t="n">
        <f aca="false">IFERROR(__xludf.dummyfunction("""COMPUTED_VALUE"""),44488)</f>
        <v>44488</v>
      </c>
      <c r="C21" s="0" t="n">
        <f aca="false">IFERROR(__xludf.dummyfunction("""COMPUTED_VALUE"""),1)</f>
        <v>1</v>
      </c>
      <c r="D21" s="0" t="str">
        <f aca="false">IFERROR(__xludf.dummyfunction("""COMPUTED_VALUE"""),"SIPI202108-16-1| Realizar la validación y control de cumplimiento de requisitos para el pago de quinquenios previo al pago de colaboradores … (01/03/2021 - 01/06/2021)")</f>
        <v>SIPI202108-16-1| Realizar la validación y control de cumplimiento de requisitos para el pago de quinquenios previo al pago de colaboradores … (01/03/2021 - 01/06/2021)</v>
      </c>
      <c r="E21" s="0" t="str">
        <f aca="false">IFERROR(__xludf.dummyfunction("""COMPUTED_VALUE"""),"Los trabajadores oficiales deben solicitar formalmente ante la Dirección de Talento Humano el quinquenio.")</f>
        <v>Los trabajadores oficiales deben solicitar formalmente ante la Dirección de Talento Humano el quinquenio.</v>
      </c>
      <c r="F21" s="0" t="str">
        <f aca="false">IFERROR(__xludf.dummyfunction("""COMPUTED_VALUE"""),"Completo")</f>
        <v>Completo</v>
      </c>
    </row>
    <row r="22" customFormat="false" ht="14.25" hidden="false" customHeight="false" outlineLevel="0" collapsed="false">
      <c r="A22" s="18" t="str">
        <f aca="false">IFERROR(MID(D22,1,FIND("|",D22)-1)&amp;"-"&amp;C22,"")</f>
        <v>SIPI202108-16-2-1</v>
      </c>
      <c r="B22" s="19" t="n">
        <f aca="false">IFERROR(__xludf.dummyfunction("""COMPUTED_VALUE"""),44488)</f>
        <v>44488</v>
      </c>
      <c r="C22" s="0" t="n">
        <f aca="false">IFERROR(__xludf.dummyfunction("""COMPUTED_VALUE"""),1)</f>
        <v>1</v>
      </c>
      <c r="D22" s="0" t="str">
        <f aca="false">IFERROR(__xludf.dummyfunction("""COMPUTED_VALUE"""),"SIPI202108-16-2| Dar respuesta a derechos de petición con oficio y adjuntando la evidencia correspondiente. (01/03/2021 - 01/06/2021)")</f>
        <v>SIPI202108-16-2| Dar respuesta a derechos de petición con oficio y adjuntando la evidencia correspondiente. (01/03/2021 - 01/06/2021)</v>
      </c>
      <c r="E22" s="0" t="str">
        <f aca="false">IFERROR(__xludf.dummyfunction("""COMPUTED_VALUE"""),"Se da respuesta oportuna a los derechos de petición. ")</f>
        <v>Se da respuesta oportuna a los derechos de petición. </v>
      </c>
      <c r="F22" s="0" t="str">
        <f aca="false">IFERROR(__xludf.dummyfunction("""COMPUTED_VALUE"""),"Completo")</f>
        <v>Completo</v>
      </c>
    </row>
    <row r="23" customFormat="false" ht="14.25" hidden="false" customHeight="false" outlineLevel="0" collapsed="false">
      <c r="A23" s="18" t="str">
        <f aca="false">IFERROR(MID(D23,1,FIND("|",D23)-1)&amp;"-"&amp;C23,"")</f>
        <v>SIPI202108-17-1-1</v>
      </c>
      <c r="B23" s="19" t="n">
        <f aca="false">IFERROR(__xludf.dummyfunction("""COMPUTED_VALUE"""),44488)</f>
        <v>44488</v>
      </c>
      <c r="C23" s="0" t="n">
        <f aca="false">IFERROR(__xludf.dummyfunction("""COMPUTED_VALUE"""),1)</f>
        <v>1</v>
      </c>
      <c r="D23" s="0" t="str">
        <f aca="false">IFERROR(__xludf.dummyfunction("""COMPUTED_VALUE"""),"SIPI202108-17-1| Solicitar al profesional encargado de situaciones administrativas se de inicio al debido proceso para dar cierre al caso (03/12/2021 - 30/03/2021)")</f>
        <v>SIPI202108-17-1| Solicitar al profesional encargado de situaciones administrativas se de inicio al debido proceso para dar cierre al caso (03/12/2021 - 30/03/2021)</v>
      </c>
      <c r="E23" s="0" t="str">
        <f aca="false">IFERROR(__xludf.dummyfunction("""COMPUTED_VALUE"""),"Se subsano internamente pero no se libro del reporte a disciplinarios")</f>
        <v>Se subsano internamente pero no se libro del reporte a disciplinarios</v>
      </c>
      <c r="F23" s="0" t="str">
        <f aca="false">IFERROR(__xludf.dummyfunction("""COMPUTED_VALUE"""),"Completo")</f>
        <v>Completo</v>
      </c>
    </row>
    <row r="24" customFormat="false" ht="14.25" hidden="false" customHeight="false" outlineLevel="0" collapsed="false">
      <c r="A24" s="18" t="str">
        <f aca="false">IFERROR(MID(D24,1,FIND("|",D24)-1)&amp;"-"&amp;C24,"")</f>
        <v>SIPI202108-18-1-1</v>
      </c>
      <c r="B24" s="19" t="n">
        <f aca="false">IFERROR(__xludf.dummyfunction("""COMPUTED_VALUE"""),44488)</f>
        <v>44488</v>
      </c>
      <c r="C24" s="0" t="n">
        <f aca="false">IFERROR(__xludf.dummyfunction("""COMPUTED_VALUE"""),1)</f>
        <v>1</v>
      </c>
      <c r="D24" s="0" t="str">
        <f aca="false">IFERROR(__xludf.dummyfunction("""COMPUTED_VALUE"""),"SIPI202108-18-1| Realizar el cálculo real de los valores a pagar según ajustes, para los colaboradores que tengan esta novedad. (01/03/2021 - 01/09/2021)")</f>
        <v>SIPI202108-18-1| Realizar el cálculo real de los valores a pagar según ajustes, para los colaboradores que tengan esta novedad. (01/03/2021 - 01/09/2021)</v>
      </c>
      <c r="E24" s="0" t="str">
        <f aca="false">IFERROR(__xludf.dummyfunction("""COMPUTED_VALUE"""),"Se realizo el pago efectivo en el mes de febrero de 2021 y se socializaron a la gerencia los controles del sistema.")</f>
        <v>Se realizo el pago efectivo en el mes de febrero de 2021 y se socializaron a la gerencia los controles del sistema.</v>
      </c>
      <c r="F24" s="0" t="str">
        <f aca="false">IFERROR(__xludf.dummyfunction("""COMPUTED_VALUE"""),"Completo")</f>
        <v>Completo</v>
      </c>
    </row>
    <row r="25" customFormat="false" ht="14.25" hidden="false" customHeight="false" outlineLevel="0" collapsed="false">
      <c r="A25" s="18" t="str">
        <f aca="false">IFERROR(MID(D25,1,FIND("|",D25)-1)&amp;"-"&amp;C25,"")</f>
        <v>SIPI202108-19-1-1</v>
      </c>
      <c r="B25" s="19" t="n">
        <f aca="false">IFERROR(__xludf.dummyfunction("""COMPUTED_VALUE"""),44488)</f>
        <v>44488</v>
      </c>
      <c r="C25" s="0" t="n">
        <f aca="false">IFERROR(__xludf.dummyfunction("""COMPUTED_VALUE"""),1)</f>
        <v>1</v>
      </c>
      <c r="D25" s="0" t="str">
        <f aca="false">IFERROR(__xludf.dummyfunction("""COMPUTED_VALUE"""),"SIPI202108-19-1| Realizar una reunión con la Gerencia, Subgerencia Corporativa, Dirección Financiera y la Oficina Asesora Jurídica … (01/03/2021 - 01/09/2021)")</f>
        <v>SIPI202108-19-1| Realizar una reunión con la Gerencia, Subgerencia Corporativa, Dirección Financiera y la Oficina Asesora Jurídica … (01/03/2021 - 01/09/2021)</v>
      </c>
      <c r="E25" s="0" t="str">
        <f aca="false">IFERROR(__xludf.dummyfunction("""COMPUTED_VALUE"""),"Se realizo la reunión se definió el protocolo a seguir para realizar estos pagos.")</f>
        <v>Se realizo la reunión se definió el protocolo a seguir para realizar estos pagos.</v>
      </c>
      <c r="F25" s="0" t="str">
        <f aca="false">IFERROR(__xludf.dummyfunction("""COMPUTED_VALUE"""),"Completo")</f>
        <v>Completo</v>
      </c>
    </row>
    <row r="26" customFormat="false" ht="14.25" hidden="false" customHeight="false" outlineLevel="0" collapsed="false">
      <c r="A26" s="18" t="str">
        <f aca="false">IFERROR(MID(D26,1,FIND("|",D26)-1)&amp;"-"&amp;C26,"")</f>
        <v>SIPI202108-20-1-1</v>
      </c>
      <c r="B26" s="19" t="n">
        <f aca="false">IFERROR(__xludf.dummyfunction("""COMPUTED_VALUE"""),44488)</f>
        <v>44488</v>
      </c>
      <c r="C26" s="0" t="n">
        <f aca="false">IFERROR(__xludf.dummyfunction("""COMPUTED_VALUE"""),1)</f>
        <v>1</v>
      </c>
      <c r="D26" s="0" t="str">
        <f aca="false">IFERROR(__xludf.dummyfunction("""COMPUTED_VALUE"""),"SIPI202108-20-1| Realizar la corrección de la información, previa validación del operador de Pila y actualización en el Sistema de Nómina (01/02/2021 - 01/07/2021)")</f>
        <v>SIPI202108-20-1| Realizar la corrección de la información, previa validación del operador de Pila y actualización en el Sistema de Nómina (01/02/2021 - 01/07/2021)</v>
      </c>
      <c r="E26" s="0" t="str">
        <f aca="false">IFERROR(__xludf.dummyfunction("""COMPUTED_VALUE"""),"Se realiza la corrección.")</f>
        <v>Se realiza la corrección.</v>
      </c>
      <c r="F26" s="0" t="str">
        <f aca="false">IFERROR(__xludf.dummyfunction("""COMPUTED_VALUE"""),"Completo")</f>
        <v>Completo</v>
      </c>
    </row>
    <row r="27" customFormat="false" ht="14.25" hidden="false" customHeight="false" outlineLevel="0" collapsed="false">
      <c r="A27" s="18" t="str">
        <f aca="false">IFERROR(MID(D27,1,FIND("|",D27)-1)&amp;"-"&amp;C27,"")</f>
        <v>SIPI202108-21-1-1</v>
      </c>
      <c r="B27" s="19" t="n">
        <f aca="false">IFERROR(__xludf.dummyfunction("""COMPUTED_VALUE"""),44488)</f>
        <v>44488</v>
      </c>
      <c r="C27" s="0" t="n">
        <f aca="false">IFERROR(__xludf.dummyfunction("""COMPUTED_VALUE"""),1)</f>
        <v>1</v>
      </c>
      <c r="D27" s="0" t="str">
        <f aca="false">IFERROR(__xludf.dummyfunction("""COMPUTED_VALUE"""),"SIPI202108-21-1| Validar el total de horas extras adeudas, realizar el cálculo correspondiente y proceder con todos los pagos a los que haya lugar (15/02/2021 - 01/06/2021)")</f>
        <v>SIPI202108-21-1| Validar el total de horas extras adeudas, realizar el cálculo correspondiente y proceder con todos los pagos a los que haya lugar (15/02/2021 - 01/06/2021)</v>
      </c>
      <c r="E27" s="0" t="str">
        <f aca="false">IFERROR(__xludf.dummyfunction("""COMPUTED_VALUE"""),"Se reliquidaron las horas extras y se pagaron efectivamente en febrero de 2021.")</f>
        <v>Se reliquidaron las horas extras y se pagaron efectivamente en febrero de 2021.</v>
      </c>
      <c r="F27" s="0" t="str">
        <f aca="false">IFERROR(__xludf.dummyfunction("""COMPUTED_VALUE"""),"Completo")</f>
        <v>Completo</v>
      </c>
    </row>
    <row r="28" customFormat="false" ht="14.25" hidden="false" customHeight="false" outlineLevel="0" collapsed="false">
      <c r="A28" s="18" t="str">
        <f aca="false">IFERROR(MID(D28,1,FIND("|",D28)-1)&amp;"-"&amp;C28,"")</f>
        <v>SIPI202108-22-1-1</v>
      </c>
      <c r="B28" s="19" t="n">
        <f aca="false">IFERROR(__xludf.dummyfunction("""COMPUTED_VALUE"""),44488)</f>
        <v>44488</v>
      </c>
      <c r="C28" s="0" t="n">
        <f aca="false">IFERROR(__xludf.dummyfunction("""COMPUTED_VALUE"""),1)</f>
        <v>1</v>
      </c>
      <c r="D28" s="0" t="str">
        <f aca="false">IFERROR(__xludf.dummyfunction("""COMPUTED_VALUE"""),"SIPI202108-22-1| Continuar con el proceso de Saneamiento de Colpensiones … (02/01/2021 - 01/08/2021)")</f>
        <v>SIPI202108-22-1| Continuar con el proceso de Saneamiento de Colpensiones … (02/01/2021 - 01/08/2021)</v>
      </c>
      <c r="E28" s="0" t="str">
        <f aca="false">IFERROR(__xludf.dummyfunction("""COMPUTED_VALUE"""),"No se realiza la conciliación, se tiene un alto riesgo de demandas.")</f>
        <v>No se realiza la conciliación, se tiene un alto riesgo de demandas.</v>
      </c>
      <c r="F28" s="0" t="str">
        <f aca="false">IFERROR(__xludf.dummyfunction("""COMPUTED_VALUE"""),"Atrasado")</f>
        <v>Atrasado</v>
      </c>
    </row>
    <row r="29" customFormat="false" ht="14.25" hidden="false" customHeight="false" outlineLevel="0" collapsed="false">
      <c r="A29" s="18" t="str">
        <f aca="false">IFERROR(MID(D29,1,FIND("|",D29)-1)&amp;"-"&amp;C29,"")</f>
        <v>SIPI202108-25-1-1</v>
      </c>
      <c r="B29" s="19" t="n">
        <f aca="false">IFERROR(__xludf.dummyfunction("""COMPUTED_VALUE"""),44519)</f>
        <v>44519</v>
      </c>
      <c r="C29" s="0" t="n">
        <f aca="false">IFERROR(__xludf.dummyfunction("""COMPUTED_VALUE"""),1)</f>
        <v>1</v>
      </c>
      <c r="D29" s="0" t="str">
        <f aca="false">IFERROR(__xludf.dummyfunction("""COMPUTED_VALUE"""),"SIPI202108-25-1| Extraer a través del software de nómina los tiempos laborados y pagados que den cuenta de los compensatorios … (01/02/2021 - 01/08/2021)")</f>
        <v>SIPI202108-25-1| Extraer a través del software de nómina los tiempos laborados y pagados que den cuenta de los compensatorios … (01/02/2021 - 01/08/2021)</v>
      </c>
      <c r="E29" s="0" t="str">
        <f aca="false">IFERROR(__xludf.dummyfunction("""COMPUTED_VALUE"""),"Se debe reformular esta acción. ")</f>
        <v>Se debe reformular esta acción. </v>
      </c>
      <c r="F29" s="0" t="str">
        <f aca="false">IFERROR(__xludf.dummyfunction("""COMPUTED_VALUE"""),"Atrasado")</f>
        <v>Atrasado</v>
      </c>
    </row>
    <row r="30" customFormat="false" ht="14.25" hidden="false" customHeight="false" outlineLevel="0" collapsed="false">
      <c r="A30" s="18" t="str">
        <f aca="false">IFERROR(MID(D30,1,FIND("|",D30)-1)&amp;"-"&amp;C30,"")</f>
        <v>SIPI202108-25-2-1</v>
      </c>
      <c r="B30" s="19" t="n">
        <f aca="false">IFERROR(__xludf.dummyfunction("""COMPUTED_VALUE"""),44488)</f>
        <v>44488</v>
      </c>
      <c r="C30" s="0" t="n">
        <f aca="false">IFERROR(__xludf.dummyfunction("""COMPUTED_VALUE"""),1)</f>
        <v>1</v>
      </c>
      <c r="D30" s="0" t="str">
        <f aca="false">IFERROR(__xludf.dummyfunction("""COMPUTED_VALUE"""),"SIPI202108-25-2| Remitir a las Direcciones el consolidado de tiempos laborados pagados y pagados con los compensatorios … (01/02/2021 - 01/08/2021)")</f>
        <v>SIPI202108-25-2| Remitir a las Direcciones el consolidado de tiempos laborados pagados y pagados con los compensatorios … (01/02/2021 - 01/08/2021)</v>
      </c>
      <c r="E30" s="0" t="str">
        <f aca="false">IFERROR(__xludf.dummyfunction("""COMPUTED_VALUE"""),"La Dirección de Talento Humano realizo un análisis sobre los compensatorios. ")</f>
        <v>La Dirección de Talento Humano realizo un análisis sobre los compensatorios. </v>
      </c>
      <c r="F30" s="0" t="str">
        <f aca="false">IFERROR(__xludf.dummyfunction("""COMPUTED_VALUE"""),"En desarrollo")</f>
        <v>En desarrollo</v>
      </c>
    </row>
    <row r="31" customFormat="false" ht="14.25" hidden="false" customHeight="false" outlineLevel="0" collapsed="false">
      <c r="A31" s="18" t="str">
        <f aca="false">IFERROR(MID(D31,1,FIND("|",D31)-1)&amp;"-"&amp;C31,"")</f>
        <v>SIPI202108-25-3-1</v>
      </c>
      <c r="B31" s="19" t="n">
        <f aca="false">IFERROR(__xludf.dummyfunction("""COMPUTED_VALUE"""),44488)</f>
        <v>44488</v>
      </c>
      <c r="C31" s="0" t="n">
        <f aca="false">IFERROR(__xludf.dummyfunction("""COMPUTED_VALUE"""),1)</f>
        <v>1</v>
      </c>
      <c r="D31" s="0" t="str">
        <f aca="false">IFERROR(__xludf.dummyfunction("""COMPUTED_VALUE"""),"SIPI202108-25-3| Realizar por lo menos 3 modelos o estrategias para la compensación de dicho beneficio teniendo en cuenta … (01/02/2021 - 01/08/2021)")</f>
        <v>SIPI202108-25-3| Realizar por lo menos 3 modelos o estrategias para la compensación de dicho beneficio teniendo en cuenta … (01/02/2021 - 01/08/2021)</v>
      </c>
      <c r="E31" s="0" t="str">
        <f aca="false">IFERROR(__xludf.dummyfunction("""COMPUTED_VALUE"""),"Se debe replantear esta acción, en concepto de la Líder de Nomina este es un tema de la Dirección de Servicios existe la probabilidad de riesgos económicos y de corrupción.")</f>
        <v>Se debe replantear esta acción, en concepto de la Líder de Nomina este es un tema de la Dirección de Servicios existe la probabilidad de riesgos económicos y de corrupción.</v>
      </c>
      <c r="F31" s="0" t="str">
        <f aca="false">IFERROR(__xludf.dummyfunction("""COMPUTED_VALUE"""),"Atrasado")</f>
        <v>Atrasado</v>
      </c>
    </row>
    <row r="32" customFormat="false" ht="14.25" hidden="false" customHeight="false" outlineLevel="0" collapsed="false">
      <c r="A32" s="18" t="str">
        <f aca="false">IFERROR(MID(D32,1,FIND("|",D32)-1)&amp;"-"&amp;C32,"")</f>
        <v>SIPI202108-26-1-1</v>
      </c>
      <c r="B32" s="19" t="n">
        <f aca="false">IFERROR(__xludf.dummyfunction("""COMPUTED_VALUE"""),44488)</f>
        <v>44488</v>
      </c>
      <c r="C32" s="0" t="n">
        <f aca="false">IFERROR(__xludf.dummyfunction("""COMPUTED_VALUE"""),1)</f>
        <v>1</v>
      </c>
      <c r="D32" s="0" t="str">
        <f aca="false">IFERROR(__xludf.dummyfunction("""COMPUTED_VALUE"""),"SIPI202108-26-1| Capacitación a los colaboradores con personal a cargo con relación a la programación de turnos … (01/07/2021 - 01/09/2021)")</f>
        <v>SIPI202108-26-1| Capacitación a los colaboradores con personal a cargo con relación a la programación de turnos … (01/07/2021 - 01/09/2021)</v>
      </c>
      <c r="E32" s="0" t="str">
        <f aca="false">IFERROR(__xludf.dummyfunction("""COMPUTED_VALUE"""),"No se ha realizado la capacitación.")</f>
        <v>No se ha realizado la capacitación.</v>
      </c>
      <c r="F32" s="0" t="str">
        <f aca="false">IFERROR(__xludf.dummyfunction("""COMPUTED_VALUE"""),"Atrasado")</f>
        <v>Atrasado</v>
      </c>
    </row>
    <row r="33" customFormat="false" ht="14.25" hidden="false" customHeight="false" outlineLevel="0" collapsed="false">
      <c r="A33" s="18" t="str">
        <f aca="false">IFERROR(MID(D33,1,FIND("|",D33)-1)&amp;"-"&amp;C33,"")</f>
        <v>SIPI202108-27-1-1</v>
      </c>
      <c r="B33" s="19" t="n">
        <f aca="false">IFERROR(__xludf.dummyfunction("""COMPUTED_VALUE"""),44488)</f>
        <v>44488</v>
      </c>
      <c r="C33" s="0" t="n">
        <f aca="false">IFERROR(__xludf.dummyfunction("""COMPUTED_VALUE"""),1)</f>
        <v>1</v>
      </c>
      <c r="D33" s="0" t="str">
        <f aca="false">IFERROR(__xludf.dummyfunction("""COMPUTED_VALUE"""),"SIPI202108-27-1| Parametrizar y realizar la liquidación de cesantías e informes de las mismas en el sistema de nómina Sinergy … (01/02/2021 - 01/08/2021)")</f>
        <v>SIPI202108-27-1| Parametrizar y realizar la liquidación de cesantías e informes de las mismas en el sistema de nómina Sinergy … (01/02/2021 - 01/08/2021)</v>
      </c>
      <c r="E33" s="0" t="str">
        <f aca="false">IFERROR(__xludf.dummyfunction("""COMPUTED_VALUE"""),"Se realizo la parametrización en el sistema de información Sinergy, están en pruebas. Existe una dificultad con las cesantías retroactivas ")</f>
        <v>Se realizo la parametrización en el sistema de información Sinergy, están en pruebas. Existe una dificultad con las cesantías retroactivas </v>
      </c>
      <c r="F33" s="0" t="str">
        <f aca="false">IFERROR(__xludf.dummyfunction("""COMPUTED_VALUE"""),"En desarrollo")</f>
        <v>En desarrollo</v>
      </c>
    </row>
    <row r="34" customFormat="false" ht="14.25" hidden="false" customHeight="false" outlineLevel="0" collapsed="false">
      <c r="A34" s="18" t="str">
        <f aca="false">IFERROR(MID(D34,1,FIND("|",D34)-1)&amp;"-"&amp;C34,"")</f>
        <v>SIPI202108-27-2-1</v>
      </c>
      <c r="B34" s="19" t="n">
        <f aca="false">IFERROR(__xludf.dummyfunction("""COMPUTED_VALUE"""),44488)</f>
        <v>44488</v>
      </c>
      <c r="C34" s="0" t="n">
        <f aca="false">IFERROR(__xludf.dummyfunction("""COMPUTED_VALUE"""),1)</f>
        <v>1</v>
      </c>
      <c r="D34" s="0" t="str">
        <f aca="false">IFERROR(__xludf.dummyfunction("""COMPUTED_VALUE"""),"SIPI202108-27-2| Implementar la revisión de la liquidación de cesantías por un profesional especializado una vez elaboradas por la técnico. (01/02/2021 - 01/08/2021)")</f>
        <v>SIPI202108-27-2| Implementar la revisión de la liquidación de cesantías por un profesional especializado una vez elaboradas por la técnico. (01/02/2021 - 01/08/2021)</v>
      </c>
      <c r="E34" s="0" t="str">
        <f aca="false">IFERROR(__xludf.dummyfunction("""COMPUTED_VALUE"""),"La Dirección de Talento Humano organizo su equipo de trabajo dentro del cual esta la profesional especializada líder de nomina quien realiza la revisión de las liquidaciones de cesantías.")</f>
        <v>La Dirección de Talento Humano organizo su equipo de trabajo dentro del cual esta la profesional especializada líder de nomina quien realiza la revisión de las liquidaciones de cesantías.</v>
      </c>
      <c r="F34" s="0" t="str">
        <f aca="false">IFERROR(__xludf.dummyfunction("""COMPUTED_VALUE"""),"Completo")</f>
        <v>Completo</v>
      </c>
    </row>
    <row r="35" customFormat="false" ht="14.25" hidden="false" customHeight="false" outlineLevel="0" collapsed="false">
      <c r="A35" s="18" t="str">
        <f aca="false">IFERROR(MID(D35,1,FIND("|",D35)-1)&amp;"-"&amp;C35,"")</f>
        <v>SIPI202108-27-3-1</v>
      </c>
      <c r="B35" s="19" t="n">
        <f aca="false">IFERROR(__xludf.dummyfunction("""COMPUTED_VALUE"""),44488)</f>
        <v>44488</v>
      </c>
      <c r="C35" s="0" t="n">
        <f aca="false">IFERROR(__xludf.dummyfunction("""COMPUTED_VALUE"""),1)</f>
        <v>1</v>
      </c>
      <c r="D35" s="0" t="str">
        <f aca="false">IFERROR(__xludf.dummyfunction("""COMPUTED_VALUE"""),"SIPI202108-27-3| Vincular al Gerente en el comité de cesantías retroactivas para su aprobación y adicionalmente se implementa … (01/02/2021 - 01/08/2021)")</f>
        <v>SIPI202108-27-3| Vincular al Gerente en el comité de cesantías retroactivas para su aprobación y adicionalmente se implementa … (01/02/2021 - 01/08/2021)</v>
      </c>
      <c r="E35" s="0" t="str">
        <f aca="false">IFERROR(__xludf.dummyfunction("""COMPUTED_VALUE"""),"El gerente de la Subred Norte hace parte del comité de cesantías ")</f>
        <v>El gerente de la Subred Norte hace parte del comité de cesantías </v>
      </c>
      <c r="F35" s="0" t="str">
        <f aca="false">IFERROR(__xludf.dummyfunction("""COMPUTED_VALUE"""),"Completo")</f>
        <v>Completo</v>
      </c>
    </row>
    <row r="36" customFormat="false" ht="14.25" hidden="false" customHeight="false" outlineLevel="0" collapsed="false">
      <c r="A36" s="18" t="str">
        <f aca="false">IFERROR(MID(D36,1,FIND("|",D36)-1)&amp;"-"&amp;C36,"")</f>
        <v>SIPI202108-28-1-1</v>
      </c>
      <c r="B36" s="19" t="n">
        <f aca="false">IFERROR(__xludf.dummyfunction("""COMPUTED_VALUE"""),44488)</f>
        <v>44488</v>
      </c>
      <c r="C36" s="0" t="n">
        <f aca="false">IFERROR(__xludf.dummyfunction("""COMPUTED_VALUE"""),1)</f>
        <v>1</v>
      </c>
      <c r="D36" s="0" t="str">
        <f aca="false">IFERROR(__xludf.dummyfunction("""COMPUTED_VALUE"""),"SIPI202108-28-1| Establecer a la fecha el pasivo vacacional de cada dependencia y enviar a cada director o jefe de oficina. (01/06/2021 - 01/10/2021)")</f>
        <v>SIPI202108-28-1| Establecer a la fecha el pasivo vacacional de cada dependencia y enviar a cada director o jefe de oficina. (01/06/2021 - 01/10/2021)</v>
      </c>
      <c r="E36" s="0" t="str">
        <f aca="false">IFERROR(__xludf.dummyfunction("""COMPUTED_VALUE"""),"Se tienen identificados los periodos con mas de 2 periodos en la depuración de saldos, se tiene el control de dichos periodos. Se ha venido normalizando el disfrute de vacaciones.")</f>
        <v>Se tienen identificados los periodos con mas de 2 periodos en la depuración de saldos, se tiene el control de dichos periodos. Se ha venido normalizando el disfrute de vacaciones.</v>
      </c>
      <c r="F36" s="0" t="str">
        <f aca="false">IFERROR(__xludf.dummyfunction("""COMPUTED_VALUE"""),"En desarrollo")</f>
        <v>En desarrollo</v>
      </c>
    </row>
    <row r="37" customFormat="false" ht="14.25" hidden="false" customHeight="false" outlineLevel="0" collapsed="false">
      <c r="A37" s="18" t="str">
        <f aca="false">IFERROR(MID(D37,1,FIND("|",D37)-1)&amp;"-"&amp;C37,"")</f>
        <v>SIPI202108-28-3-1</v>
      </c>
      <c r="B37" s="19" t="n">
        <f aca="false">IFERROR(__xludf.dummyfunction("""COMPUTED_VALUE"""),44488)</f>
        <v>44488</v>
      </c>
      <c r="C37" s="0" t="n">
        <f aca="false">IFERROR(__xludf.dummyfunction("""COMPUTED_VALUE"""),1)</f>
        <v>1</v>
      </c>
      <c r="D37" s="0" t="str">
        <f aca="false">IFERROR(__xludf.dummyfunction("""COMPUTED_VALUE"""),"SIPI202108-28-3| Remitir a cada colaborador la notificación de disfrute de sus periodos de vacaciones pendientes. (01/06/2021 - 01/10/2021)")</f>
        <v>SIPI202108-28-3| Remitir a cada colaborador la notificación de disfrute de sus periodos de vacaciones pendientes. (01/06/2021 - 01/10/2021)</v>
      </c>
      <c r="E37" s="0" t="str">
        <f aca="false">IFERROR(__xludf.dummyfunction("""COMPUTED_VALUE"""),"Se notifica por medio de correo el disfrute de las vacaciones.")</f>
        <v>Se notifica por medio de correo el disfrute de las vacaciones.</v>
      </c>
      <c r="F37" s="0" t="str">
        <f aca="false">IFERROR(__xludf.dummyfunction("""COMPUTED_VALUE"""),"Completo")</f>
        <v>Completo</v>
      </c>
    </row>
    <row r="38" customFormat="false" ht="14.25" hidden="false" customHeight="false" outlineLevel="0" collapsed="false">
      <c r="A38" s="18" t="str">
        <f aca="false">IFERROR(MID(D38,1,FIND("|",D38)-1)&amp;"-"&amp;C38,"")</f>
        <v>SIPI202108-29-1-1</v>
      </c>
      <c r="B38" s="19" t="n">
        <f aca="false">IFERROR(__xludf.dummyfunction("""COMPUTED_VALUE"""),44488)</f>
        <v>44488</v>
      </c>
      <c r="C38" s="0" t="n">
        <f aca="false">IFERROR(__xludf.dummyfunction("""COMPUTED_VALUE"""),1)</f>
        <v>1</v>
      </c>
      <c r="D38" s="0" t="str">
        <f aca="false">IFERROR(__xludf.dummyfunction("""COMPUTED_VALUE"""),"SIPI202108-29-1| Solicitar el informe del estatus actual del proceso de depuración de SGP vigencia 2020. (21/01/2021 - 21/01/2021)")</f>
        <v>SIPI202108-29-1| Solicitar el informe del estatus actual del proceso de depuración de SGP vigencia 2020. (21/01/2021 - 21/01/2021)</v>
      </c>
      <c r="E38" s="0" t="str">
        <f aca="false">IFERROR(__xludf.dummyfunction("""COMPUTED_VALUE"""),"El informe no permite medir el avance actual del proceso de depuración.")</f>
        <v>El informe no permite medir el avance actual del proceso de depuración.</v>
      </c>
      <c r="F38" s="0" t="str">
        <f aca="false">IFERROR(__xludf.dummyfunction("""COMPUTED_VALUE"""),"Atrasado")</f>
        <v>Atrasado</v>
      </c>
    </row>
    <row r="39" customFormat="false" ht="14.25" hidden="false" customHeight="false" outlineLevel="0" collapsed="false">
      <c r="A39" s="18" t="str">
        <f aca="false">IFERROR(MID(D39,1,FIND("|",D39)-1)&amp;"-"&amp;C39,"")</f>
        <v>SIPI202108-30-1-1</v>
      </c>
      <c r="B39" s="19" t="n">
        <f aca="false">IFERROR(__xludf.dummyfunction("""COMPUTED_VALUE"""),44488)</f>
        <v>44488</v>
      </c>
      <c r="C39" s="0" t="n">
        <f aca="false">IFERROR(__xludf.dummyfunction("""COMPUTED_VALUE"""),1)</f>
        <v>1</v>
      </c>
      <c r="D39" s="0" t="str">
        <f aca="false">IFERROR(__xludf.dummyfunction("""COMPUTED_VALUE"""),"SIPI202108-30-1| Establecer una herramienta de seguimiento, avance y control mensual de la depuración de SGP de la entidad … (01/07/2021 - 01/08/2021)")</f>
        <v>SIPI202108-30-1| Establecer una herramienta de seguimiento, avance y control mensual de la depuración de SGP de la entidad … (01/07/2021 - 01/08/2021)</v>
      </c>
      <c r="E39" s="0" t="str">
        <f aca="false">IFERROR(__xludf.dummyfunction("""COMPUTED_VALUE"""),"No se evidencia herramienta de conciliación.")</f>
        <v>No se evidencia herramienta de conciliación.</v>
      </c>
      <c r="F39" s="0" t="str">
        <f aca="false">IFERROR(__xludf.dummyfunction("""COMPUTED_VALUE"""),"Atrasado")</f>
        <v>Atrasado</v>
      </c>
    </row>
    <row r="40" customFormat="false" ht="14.25" hidden="false" customHeight="false" outlineLevel="0" collapsed="false">
      <c r="A40" s="18" t="str">
        <f aca="false">IFERROR(MID(D40,1,FIND("|",D40)-1)&amp;"-"&amp;C40,"")</f>
        <v>SIPI202108-31-1-1</v>
      </c>
      <c r="B40" s="19" t="n">
        <f aca="false">IFERROR(__xludf.dummyfunction("""COMPUTED_VALUE"""),44488)</f>
        <v>44488</v>
      </c>
      <c r="C40" s="0" t="n">
        <f aca="false">IFERROR(__xludf.dummyfunction("""COMPUTED_VALUE"""),1)</f>
        <v>1</v>
      </c>
      <c r="D40" s="0" t="str">
        <f aca="false">IFERROR(__xludf.dummyfunction("""COMPUTED_VALUE"""),"SIPI202108-31-1| Diseñar, validar, aprobar e implementar los procedimientos y formatos para la correcta la liquidación de nómina … (01/04/2021 - 01/07/2021)")</f>
        <v>SIPI202108-31-1| Diseñar, validar, aprobar e implementar los procedimientos y formatos para la correcta la liquidación de nómina … (01/04/2021 - 01/07/2021)</v>
      </c>
      <c r="E40" s="0" t="str">
        <f aca="false">IFERROR(__xludf.dummyfunction("""COMPUTED_VALUE"""),"Se han actualizado algunos procedimientos pero esta pendiente la normalización, falta actualizar el de SGP.")</f>
        <v>Se han actualizado algunos procedimientos pero esta pendiente la normalización, falta actualizar el de SGP.</v>
      </c>
      <c r="F40" s="0" t="str">
        <f aca="false">IFERROR(__xludf.dummyfunction("""COMPUTED_VALUE"""),"En desarrollo")</f>
        <v>En desarrollo</v>
      </c>
    </row>
    <row r="41" customFormat="false" ht="14.25" hidden="false" customHeight="false" outlineLevel="0" collapsed="false">
      <c r="A41" s="18" t="str">
        <f aca="false">IFERROR(MID(D41,1,FIND("|",D41)-1)&amp;"-"&amp;C41,"")</f>
        <v>SIPI202108-32-1-1</v>
      </c>
      <c r="B41" s="19" t="n">
        <f aca="false">IFERROR(__xludf.dummyfunction("""COMPUTED_VALUE"""),44488)</f>
        <v>44488</v>
      </c>
      <c r="C41" s="0" t="n">
        <f aca="false">IFERROR(__xludf.dummyfunction("""COMPUTED_VALUE"""),1)</f>
        <v>1</v>
      </c>
      <c r="D41" s="0" t="str">
        <f aca="false">IFERROR(__xludf.dummyfunction("""COMPUTED_VALUE"""),"SIPI202108-32-1| Diseñar, validar, aprobar e implementar indicadores que den respuesta de la gestión de trámites relacionados con la liquidación de nómina (01/06/2021 - 31/12/2021)")</f>
        <v>SIPI202108-32-1| Diseñar, validar, aprobar e implementar indicadores que den respuesta de la gestión de trámites relacionados con la liquidación de nómina (01/06/2021 - 31/12/2021)</v>
      </c>
      <c r="E41" s="0" t="str">
        <f aca="false">IFERROR(__xludf.dummyfunction("""COMPUTED_VALUE"""),"Los indicadores se encuentran en construcción con la asesoría del área de calidad, se requiere por lo menos tener un histórico mínimo de 6 meses. ")</f>
        <v>Los indicadores se encuentran en construcción con la asesoría del área de calidad, se requiere por lo menos tener un histórico mínimo de 6 meses. </v>
      </c>
      <c r="F41" s="0" t="str">
        <f aca="false">IFERROR(__xludf.dummyfunction("""COMPUTED_VALUE"""),"Atrasado")</f>
        <v>Atrasado</v>
      </c>
    </row>
    <row r="42" customFormat="false" ht="14.25" hidden="false" customHeight="false" outlineLevel="0" collapsed="false">
      <c r="A42" s="18" t="str">
        <f aca="false">IFERROR(MID(D42,1,FIND("|",D42)-1)&amp;"-"&amp;C42,"")</f>
        <v>SIPI202108-33-1-1</v>
      </c>
      <c r="B42" s="19" t="n">
        <f aca="false">IFERROR(__xludf.dummyfunction("""COMPUTED_VALUE"""),44488)</f>
        <v>44488</v>
      </c>
      <c r="C42" s="0" t="n">
        <f aca="false">IFERROR(__xludf.dummyfunction("""COMPUTED_VALUE"""),1)</f>
        <v>1</v>
      </c>
      <c r="D42" s="0" t="str">
        <f aca="false">IFERROR(__xludf.dummyfunction("""COMPUTED_VALUE"""),"SIPI202108-33-1| Realizar la revisión de las diferentes novedades de nómina mensualmente a través de informes consolidados … (01/02/2021 - 31/12/2021)")</f>
        <v>SIPI202108-33-1| Realizar la revisión de las diferentes novedades de nómina mensualmente a través de informes consolidados … (01/02/2021 - 31/12/2021)</v>
      </c>
      <c r="E42" s="0" t="str">
        <f aca="false">IFERROR(__xludf.dummyfunction("""COMPUTED_VALUE"""),"Toda la información de la vinculación debe estar lista para el pago de la nomina y se realiza un cruce con los actos administrativos.")</f>
        <v>Toda la información de la vinculación debe estar lista para el pago de la nomina y se realiza un cruce con los actos administrativos.</v>
      </c>
      <c r="F42" s="0" t="str">
        <f aca="false">IFERROR(__xludf.dummyfunction("""COMPUTED_VALUE"""),"Completo")</f>
        <v>Completo</v>
      </c>
    </row>
    <row r="43" customFormat="false" ht="14.25" hidden="false" customHeight="false" outlineLevel="0" collapsed="false">
      <c r="A43" s="18" t="str">
        <f aca="false">IFERROR(MID(D43,1,FIND("|",D43)-1)&amp;"-"&amp;C43,"")</f>
        <v>SIPI202108-24-1-1</v>
      </c>
      <c r="B43" s="19" t="n">
        <f aca="false">IFERROR(__xludf.dummyfunction("""COMPUTED_VALUE"""),44488)</f>
        <v>44488</v>
      </c>
      <c r="C43" s="0" t="n">
        <f aca="false">IFERROR(__xludf.dummyfunction("""COMPUTED_VALUE"""),1)</f>
        <v>1</v>
      </c>
      <c r="D43" s="0" t="str">
        <f aca="false">IFERROR(__xludf.dummyfunction("""COMPUTED_VALUE"""),"SIPI202108-24-1| Diseñar e implementar una herramienta para el seguimiento y control de incapacidades. (01/03/2021 - 30/06/2021)")</f>
        <v>SIPI202108-24-1| Diseñar e implementar una herramienta para el seguimiento y control de incapacidades. (01/03/2021 - 30/06/2021)</v>
      </c>
      <c r="E43" s="0" t="str">
        <f aca="false">IFERROR(__xludf.dummyfunction("""COMPUTED_VALUE"""),"La herramienta esta en desarrollo es necesario esperar el seguimiento al plan de mejora de incapacidades efectuado por la Oficina de Control Interno. ")</f>
        <v>La herramienta esta en desarrollo es necesario esperar el seguimiento al plan de mejora de incapacidades efectuado por la Oficina de Control Interno. </v>
      </c>
      <c r="F43" s="0" t="str">
        <f aca="false">IFERROR(__xludf.dummyfunction("""COMPUTED_VALUE"""),"En desarrollo")</f>
        <v>En desarrollo</v>
      </c>
    </row>
    <row r="44" customFormat="false" ht="14.25" hidden="false" customHeight="false" outlineLevel="0" collapsed="false">
      <c r="A44" s="18" t="str">
        <f aca="false">IFERROR(MID(D44,1,FIND("|",D44)-1)&amp;"-"&amp;C44,"")</f>
        <v>SIPI202108-23-1-1</v>
      </c>
      <c r="B44" s="19" t="n">
        <f aca="false">IFERROR(__xludf.dummyfunction("""COMPUTED_VALUE"""),44488)</f>
        <v>44488</v>
      </c>
      <c r="C44" s="0" t="n">
        <f aca="false">IFERROR(__xludf.dummyfunction("""COMPUTED_VALUE"""),1)</f>
        <v>1</v>
      </c>
      <c r="D44" s="0" t="str">
        <f aca="false">IFERROR(__xludf.dummyfunction("""COMPUTED_VALUE"""),"SIPI202108-23-1| Comunicación para la implementación de la expedición de actos administrativos como lo norma el Decreto 648 … (06/01/2021 - 06/01/2021)")</f>
        <v>SIPI202108-23-1| Comunicación para la implementación de la expedición de actos administrativos como lo norma el Decreto 648 … (06/01/2021 - 06/01/2021)</v>
      </c>
      <c r="E44" s="0" t="str">
        <f aca="false">IFERROR(__xludf.dummyfunction("""COMPUTED_VALUE"""),"No dieron respuesta ni anexaron soportes")</f>
        <v>No dieron respuesta ni anexaron soportes</v>
      </c>
      <c r="F44" s="0" t="str">
        <f aca="false">IFERROR(__xludf.dummyfunction("""COMPUTED_VALUE"""),"Atrasado")</f>
        <v>Atrasado</v>
      </c>
    </row>
    <row r="45" customFormat="false" ht="14.25" hidden="false" customHeight="false" outlineLevel="0" collapsed="false">
      <c r="A45" s="18" t="str">
        <f aca="false">IFERROR(MID(D45,1,FIND("|",D45)-1)&amp;"-"&amp;C45,"")</f>
        <v>SIPI202108-25-4-1</v>
      </c>
      <c r="B45" s="19" t="n">
        <f aca="false">IFERROR(__xludf.dummyfunction("""COMPUTED_VALUE"""),44488)</f>
        <v>44488</v>
      </c>
      <c r="C45" s="0" t="n">
        <f aca="false">IFERROR(__xludf.dummyfunction("""COMPUTED_VALUE"""),1)</f>
        <v>1</v>
      </c>
      <c r="D45" s="0" t="str">
        <f aca="false">IFERROR(__xludf.dummyfunction("""COMPUTED_VALUE"""),"SIPI202108-25-4| Presentar a la Gerencia y Subgerencia Corporativa estrategias para pago de compensatorios … (01/02/2021 - 01/08/2021)")</f>
        <v>SIPI202108-25-4| Presentar a la Gerencia y Subgerencia Corporativa estrategias para pago de compensatorios … (01/02/2021 - 01/08/2021)</v>
      </c>
      <c r="E45" s="0" t="str">
        <f aca="false">IFERROR(__xludf.dummyfunction("""COMPUTED_VALUE"""),"No dieron respuesta ni anexaron soportes.")</f>
        <v>No dieron respuesta ni anexaron soportes.</v>
      </c>
      <c r="F45" s="0" t="str">
        <f aca="false">IFERROR(__xludf.dummyfunction("""COMPUTED_VALUE"""),"Atrasado")</f>
        <v>Atrasado</v>
      </c>
    </row>
    <row r="46" customFormat="false" ht="14.25" hidden="false" customHeight="false" outlineLevel="0" collapsed="false">
      <c r="A46" s="18" t="str">
        <f aca="false">IFERROR(MID(D46,1,FIND("|",D46)-1)&amp;"-"&amp;C46,"")</f>
        <v>SIPI202108-28-2-1</v>
      </c>
      <c r="B46" s="19" t="n">
        <f aca="false">IFERROR(__xludf.dummyfunction("""COMPUTED_VALUE"""),44488)</f>
        <v>44488</v>
      </c>
      <c r="C46" s="0" t="n">
        <f aca="false">IFERROR(__xludf.dummyfunction("""COMPUTED_VALUE"""),1)</f>
        <v>1</v>
      </c>
      <c r="D46" s="0" t="str">
        <f aca="false">IFERROR(__xludf.dummyfunction("""COMPUTED_VALUE"""),"SIPI202108-28-2| Consolidar las estrategias de programación de colaboradores que tengan pendiente por disfrutar 2 o más periodo de vacaciones. (01/06/2021 - 01/10/2021)")</f>
        <v>SIPI202108-28-2| Consolidar las estrategias de programación de colaboradores que tengan pendiente por disfrutar 2 o más periodo de vacaciones. (01/06/2021 - 01/10/2021)</v>
      </c>
      <c r="E46" s="0" t="str">
        <f aca="false">IFERROR(__xludf.dummyfunction("""COMPUTED_VALUE"""),"No dieron respuesta ni anexaron soportes")</f>
        <v>No dieron respuesta ni anexaron soportes</v>
      </c>
      <c r="F46" s="0" t="str">
        <f aca="false">IFERROR(__xludf.dummyfunction("""COMPUTED_VALUE"""),"Atrasado")</f>
        <v>Atrasado</v>
      </c>
    </row>
    <row r="47" customFormat="false" ht="14.25" hidden="false" customHeight="false" outlineLevel="0" collapsed="false">
      <c r="A47" s="18" t="str">
        <f aca="false">IFERROR(MID(D47,1,FIND("|",D47)-1)&amp;"-"&amp;C47,"")</f>
        <v>SIPI202108-1-1-2</v>
      </c>
      <c r="B47" s="19" t="n">
        <f aca="false">IFERROR(__xludf.dummyfunction("""COMPUTED_VALUE"""),44582)</f>
        <v>44582</v>
      </c>
      <c r="C47" s="0" t="n">
        <f aca="false">IFERROR(__xludf.dummyfunction("""COMPUTED_VALUE"""),2)</f>
        <v>2</v>
      </c>
      <c r="D47" s="0" t="str">
        <f aca="false">IFERROR(__xludf.dummyfunction("""COMPUTED_VALUE"""),"SIPI202108-1-1| Implementación y puesta en marcha del Software (02/01/2021 - 01/02/2021)")</f>
        <v>SIPI202108-1-1| Implementación y puesta en marcha del Software (02/01/2021 - 01/02/2021)</v>
      </c>
      <c r="E47" s="0" t="str">
        <f aca="false">IFERROR(__xludf.dummyfunction("""COMPUTED_VALUE"""),"Se capacitó a la ingeniera Janeth Herrera para ser el soporte de la Subred en el proceso de nómina. A partir del mes de enero de 2022, se cuenta con la mesa de ayuda para el sistema de Sinergy por medio de ticket, se tiene dificultad con los tiempos de re"&amp;"spuesta debido a que son muy largos.")</f>
        <v>Se capacitó a la ingeniera Janeth Herrera para ser el soporte de la Subred en el proceso de nómina. A partir del mes de enero de 2022, se cuenta con la mesa de ayuda para el sistema de Sinergy por medio de ticket, se tiene dificultad con los tiempos de respuesta debido a que son muy largos.</v>
      </c>
      <c r="F47" s="0" t="str">
        <f aca="false">IFERROR(__xludf.dummyfunction("""COMPUTED_VALUE"""),"Atrasado")</f>
        <v>Atrasado</v>
      </c>
    </row>
    <row r="48" customFormat="false" ht="14.25" hidden="false" customHeight="false" outlineLevel="0" collapsed="false">
      <c r="A48" s="18" t="str">
        <f aca="false">IFERROR(MID(D48,1,FIND("|",D48)-1)&amp;"-"&amp;C48,"")</f>
        <v>SIPI202108-3-1-2</v>
      </c>
      <c r="B48" s="19" t="n">
        <f aca="false">IFERROR(__xludf.dummyfunction("""COMPUTED_VALUE"""),44582)</f>
        <v>44582</v>
      </c>
      <c r="C48" s="0" t="n">
        <f aca="false">IFERROR(__xludf.dummyfunction("""COMPUTED_VALUE"""),2)</f>
        <v>2</v>
      </c>
      <c r="D48" s="0" t="str">
        <f aca="false">IFERROR(__xludf.dummyfunction("""COMPUTED_VALUE"""),"SIPI202108-3-1| Parametrización de todos los conceptos en el sistema de Nómina Sinergy … (02/01/2021 - 01/09/2021)")</f>
        <v>SIPI202108-3-1| Parametrización de todos los conceptos en el sistema de Nómina Sinergy … (02/01/2021 - 01/09/2021)</v>
      </c>
      <c r="E48" s="0" t="str">
        <f aca="false">IFERROR(__xludf.dummyfunction("""COMPUTED_VALUE"""),"Se parametrizo el 100% de los conceptos de nomina (prima semestral, prima de navidad, cesantías, intereses de cesantías, bonificaciones entre otros) en el sistema de información Sinergy ")</f>
        <v>Se parametrizo el 100% de los conceptos de nomina (prima semestral, prima de navidad, cesantías, intereses de cesantías, bonificaciones entre otros) en el sistema de información Sinergy </v>
      </c>
      <c r="F48" s="0" t="str">
        <f aca="false">IFERROR(__xludf.dummyfunction("""COMPUTED_VALUE"""),"Completo")</f>
        <v>Completo</v>
      </c>
    </row>
    <row r="49" customFormat="false" ht="14.25" hidden="false" customHeight="false" outlineLevel="0" collapsed="false">
      <c r="A49" s="18" t="str">
        <f aca="false">IFERROR(MID(D49,1,FIND("|",D49)-1)&amp;"-"&amp;C49,"")</f>
        <v>SIPI202108-25-2-2</v>
      </c>
      <c r="B49" s="19" t="n">
        <f aca="false">IFERROR(__xludf.dummyfunction("""COMPUTED_VALUE"""),44582)</f>
        <v>44582</v>
      </c>
      <c r="C49" s="0" t="n">
        <f aca="false">IFERROR(__xludf.dummyfunction("""COMPUTED_VALUE"""),2)</f>
        <v>2</v>
      </c>
      <c r="D49" s="0" t="str">
        <f aca="false">IFERROR(__xludf.dummyfunction("""COMPUTED_VALUE"""),"SIPI202108-25-2| Remitir a las Direcciones el consolidado de tiempos laborados pagados y pagados con los compensatorios … (01/02/2021 - 01/08/2021)")</f>
        <v>SIPI202108-25-2| Remitir a las Direcciones el consolidado de tiempos laborados pagados y pagados con los compensatorios … (01/02/2021 - 01/08/2021)</v>
      </c>
      <c r="E49" s="0" t="str">
        <f aca="false">IFERROR(__xludf.dummyfunction("""COMPUTED_VALUE"""),"La Dirección de Talento Humano realizó el estudio de los compensatorios y los remitió a todas las direcciones de la Subred.")</f>
        <v>La Dirección de Talento Humano realizó el estudio de los compensatorios y los remitió a todas las direcciones de la Subred.</v>
      </c>
      <c r="F49" s="0" t="str">
        <f aca="false">IFERROR(__xludf.dummyfunction("""COMPUTED_VALUE"""),"Completo")</f>
        <v>Completo</v>
      </c>
    </row>
    <row r="50" customFormat="false" ht="14.25" hidden="false" customHeight="false" outlineLevel="0" collapsed="false">
      <c r="A50" s="18" t="str">
        <f aca="false">IFERROR(MID(D50,1,FIND("|",D50)-1)&amp;"-"&amp;C50,"")</f>
        <v>SIPI202108-25-3-2</v>
      </c>
      <c r="B50" s="19" t="n">
        <f aca="false">IFERROR(__xludf.dummyfunction("""COMPUTED_VALUE"""),44582)</f>
        <v>44582</v>
      </c>
      <c r="C50" s="0" t="n">
        <f aca="false">IFERROR(__xludf.dummyfunction("""COMPUTED_VALUE"""),2)</f>
        <v>2</v>
      </c>
      <c r="D50" s="0" t="str">
        <f aca="false">IFERROR(__xludf.dummyfunction("""COMPUTED_VALUE"""),"SIPI202108-25-3| Realizar por lo menos 3 modelos o estrategias para la compensación de dicho beneficio teniendo en cuenta … (01/02/2021 - 01/08/2021)")</f>
        <v>SIPI202108-25-3| Realizar por lo menos 3 modelos o estrategias para la compensación de dicho beneficio teniendo en cuenta … (01/02/2021 - 01/08/2021)</v>
      </c>
      <c r="E50" s="0" t="str">
        <f aca="false">IFERROR(__xludf.dummyfunction("""COMPUTED_VALUE"""),"Se solicito concepto al Dr. Francisco Páez de la Dirección de Talento Humano de la Secretaria de Distrital de Salud sobre el lineamiento a seguir en el tema de los compensatorios. A la fecha la Secretaría no ha dado respuesta a dicho requerimiento.  ")</f>
        <v>Se solicito concepto al Dr. Francisco Páez de la Dirección de Talento Humano de la Secretaria de Distrital de Salud sobre el lineamiento a seguir en el tema de los compensatorios. A la fecha la Secretaría no ha dado respuesta a dicho requerimiento.  </v>
      </c>
      <c r="F50" s="0" t="str">
        <f aca="false">IFERROR(__xludf.dummyfunction("""COMPUTED_VALUE"""),"Atrasado")</f>
        <v>Atrasado</v>
      </c>
    </row>
    <row r="51" customFormat="false" ht="14.25" hidden="false" customHeight="false" outlineLevel="0" collapsed="false">
      <c r="A51" s="18" t="str">
        <f aca="false">IFERROR(MID(D51,1,FIND("|",D51)-1)&amp;"-"&amp;C51,"")</f>
        <v>SIPI202108-25-4-2</v>
      </c>
      <c r="B51" s="19" t="n">
        <f aca="false">IFERROR(__xludf.dummyfunction("""COMPUTED_VALUE"""),44582)</f>
        <v>44582</v>
      </c>
      <c r="C51" s="0" t="n">
        <f aca="false">IFERROR(__xludf.dummyfunction("""COMPUTED_VALUE"""),2)</f>
        <v>2</v>
      </c>
      <c r="D51" s="0" t="str">
        <f aca="false">IFERROR(__xludf.dummyfunction("""COMPUTED_VALUE"""),"SIPI202108-25-4| Presentar a la Gerencia y Subgerencia Corporativa estrategias para pago de compensatorios … (01/02/2021 - 01/08/2021)")</f>
        <v>SIPI202108-25-4| Presentar a la Gerencia y Subgerencia Corporativa estrategias para pago de compensatorios … (01/02/2021 - 01/08/2021)</v>
      </c>
      <c r="E51" s="0" t="str">
        <f aca="false">IFERROR(__xludf.dummyfunction("""COMPUTED_VALUE"""),"La Dirección de Talento Humano esta en espera del lineamiento a seguir para los compensatorios por parte de la Secretaria de Salud.")</f>
        <v>La Dirección de Talento Humano esta en espera del lineamiento a seguir para los compensatorios por parte de la Secretaria de Salud.</v>
      </c>
      <c r="F51" s="0" t="str">
        <f aca="false">IFERROR(__xludf.dummyfunction("""COMPUTED_VALUE"""),"Atrasado")</f>
        <v>Atrasado</v>
      </c>
    </row>
    <row r="52" customFormat="false" ht="14.25" hidden="false" customHeight="false" outlineLevel="0" collapsed="false">
      <c r="A52" s="18" t="str">
        <f aca="false">IFERROR(MID(D52,1,FIND("|",D52)-1)&amp;"-"&amp;C52,"")</f>
        <v>SIPI202108-26-1-2</v>
      </c>
      <c r="B52" s="19" t="n">
        <f aca="false">IFERROR(__xludf.dummyfunction("""COMPUTED_VALUE"""),44582)</f>
        <v>44582</v>
      </c>
      <c r="C52" s="0" t="n">
        <f aca="false">IFERROR(__xludf.dummyfunction("""COMPUTED_VALUE"""),2)</f>
        <v>2</v>
      </c>
      <c r="D52" s="0" t="str">
        <f aca="false">IFERROR(__xludf.dummyfunction("""COMPUTED_VALUE"""),"SIPI202108-26-1| Capacitación a los colaboradores con personal a cargo con relación a la programación de turnos … (01/07/2021 - 01/09/2021)")</f>
        <v>SIPI202108-26-1| Capacitación a los colaboradores con personal a cargo con relación a la programación de turnos … (01/07/2021 - 01/09/2021)</v>
      </c>
      <c r="E52" s="0" t="str">
        <f aca="false">IFERROR(__xludf.dummyfunction("""COMPUTED_VALUE"""),"Esta acción depende de la respuesta de la Dirección de Talento Humano de la Secretaría Distrital de Salud con relación al lineamiento a seguir en materia de los compensatorios. ")</f>
        <v>Esta acción depende de la respuesta de la Dirección de Talento Humano de la Secretaría Distrital de Salud con relación al lineamiento a seguir en materia de los compensatorios. </v>
      </c>
      <c r="F52" s="0" t="str">
        <f aca="false">IFERROR(__xludf.dummyfunction("""COMPUTED_VALUE"""),"Atrasado")</f>
        <v>Atrasado</v>
      </c>
    </row>
    <row r="53" customFormat="false" ht="14.25" hidden="false" customHeight="false" outlineLevel="0" collapsed="false">
      <c r="A53" s="18" t="str">
        <f aca="false">IFERROR(MID(D53,1,FIND("|",D53)-1)&amp;"-"&amp;C53,"")</f>
        <v>SIPI202108-28-1-2</v>
      </c>
      <c r="B53" s="19" t="n">
        <f aca="false">IFERROR(__xludf.dummyfunction("""COMPUTED_VALUE"""),44582)</f>
        <v>44582</v>
      </c>
      <c r="C53" s="0" t="n">
        <f aca="false">IFERROR(__xludf.dummyfunction("""COMPUTED_VALUE"""),2)</f>
        <v>2</v>
      </c>
      <c r="D53" s="0" t="str">
        <f aca="false">IFERROR(__xludf.dummyfunction("""COMPUTED_VALUE"""),"SIPI202108-28-1| Establecer a la fecha el pasivo vacacional de cada dependencia y enviar a cada director o jefe de oficina. (01/06/2021 - 01/10/2021)")</f>
        <v>SIPI202108-28-1| Establecer a la fecha el pasivo vacacional de cada dependencia y enviar a cada director o jefe de oficina. (01/06/2021 - 01/10/2021)</v>
      </c>
      <c r="E53" s="0" t="str">
        <f aca="false">IFERROR(__xludf.dummyfunction("""COMPUTED_VALUE"""),"La Dirección de Talento Humano estableció el pasivo vacacional y lo envió a todas las direcciones de la Subred. ")</f>
        <v>La Dirección de Talento Humano estableció el pasivo vacacional y lo envió a todas las direcciones de la Subred. </v>
      </c>
      <c r="F53" s="0" t="str">
        <f aca="false">IFERROR(__xludf.dummyfunction("""COMPUTED_VALUE"""),"Completo")</f>
        <v>Completo</v>
      </c>
    </row>
    <row r="54" customFormat="false" ht="14.25" hidden="false" customHeight="false" outlineLevel="0" collapsed="false">
      <c r="A54" s="18" t="str">
        <f aca="false">IFERROR(MID(D54,1,FIND("|",D54)-1)&amp;"-"&amp;C54,"")</f>
        <v>SIPI202108-28-2-2</v>
      </c>
      <c r="B54" s="19" t="n">
        <f aca="false">IFERROR(__xludf.dummyfunction("""COMPUTED_VALUE"""),44582)</f>
        <v>44582</v>
      </c>
      <c r="C54" s="0" t="n">
        <f aca="false">IFERROR(__xludf.dummyfunction("""COMPUTED_VALUE"""),2)</f>
        <v>2</v>
      </c>
      <c r="D54" s="0" t="str">
        <f aca="false">IFERROR(__xludf.dummyfunction("""COMPUTED_VALUE"""),"SIPI202108-28-2| Consolidar las estrategias de programación de colaboradores que tengan pendiente por disfrutar 2 o más periodo de vacaciones. (01/06/2021 - 01/10/2021)")</f>
        <v>SIPI202108-28-2| Consolidar las estrategias de programación de colaboradores que tengan pendiente por disfrutar 2 o más periodo de vacaciones. (01/06/2021 - 01/10/2021)</v>
      </c>
      <c r="E54" s="0" t="str">
        <f aca="false">IFERROR(__xludf.dummyfunction("""COMPUTED_VALUE"""),"Como estrategia se estableció la comunicación directa con el funcionario y con los jefes para la programación y disfrute de las vacaciones. A la fecha se ha venido normalizando el disfrute de vacaciones.")</f>
        <v>Como estrategia se estableció la comunicación directa con el funcionario y con los jefes para la programación y disfrute de las vacaciones. A la fecha se ha venido normalizando el disfrute de vacaciones.</v>
      </c>
      <c r="F54" s="0" t="str">
        <f aca="false">IFERROR(__xludf.dummyfunction("""COMPUTED_VALUE"""),"Completo")</f>
        <v>Completo</v>
      </c>
    </row>
    <row r="55" customFormat="false" ht="14.25" hidden="false" customHeight="false" outlineLevel="0" collapsed="false">
      <c r="A55" s="18" t="str">
        <f aca="false">IFERROR(MID(D55,1,FIND("|",D55)-1)&amp;"-"&amp;C55,"")</f>
        <v>SIPI202108-7-1-2</v>
      </c>
      <c r="B55" s="19" t="n">
        <f aca="false">IFERROR(__xludf.dummyfunction("""COMPUTED_VALUE"""),44582)</f>
        <v>44582</v>
      </c>
      <c r="C55" s="0" t="n">
        <f aca="false">IFERROR(__xludf.dummyfunction("""COMPUTED_VALUE"""),2)</f>
        <v>2</v>
      </c>
      <c r="D55" s="0" t="str">
        <f aca="false">IFERROR(__xludf.dummyfunction("""COMPUTED_VALUE"""),"SIPI202108-7-1| Realizar sesiones de trabajo con la Dirección Financiera (Proceso de contabilidad) ,,, (02/01/2021 - 30/06/2021)")</f>
        <v>SIPI202108-7-1| Realizar sesiones de trabajo con la Dirección Financiera (Proceso de contabilidad) ,,, (02/01/2021 - 30/06/2021)</v>
      </c>
      <c r="E55" s="0" t="str">
        <f aca="false">IFERROR(__xludf.dummyfunction("""COMPUTED_VALUE"""),"Se han realizado las reuniones con la Dirección Financiera, pero persiste la dificultad con relación a los saldos negativos de los funcionarios que retiran las cesantías retroactivas.  ")</f>
        <v>Se han realizado las reuniones con la Dirección Financiera, pero persiste la dificultad con relación a los saldos negativos de los funcionarios que retiran las cesantías retroactivas.  </v>
      </c>
      <c r="F55" s="0" t="str">
        <f aca="false">IFERROR(__xludf.dummyfunction("""COMPUTED_VALUE"""),"Atrasado")</f>
        <v>Atrasado</v>
      </c>
    </row>
    <row r="56" customFormat="false" ht="14.25" hidden="false" customHeight="false" outlineLevel="0" collapsed="false">
      <c r="A56" s="18" t="str">
        <f aca="false">IFERROR(MID(D56,1,FIND("|",D56)-1)&amp;"-"&amp;C56,"")</f>
        <v>SIPI202108-22-1-2</v>
      </c>
      <c r="B56" s="19" t="n">
        <f aca="false">IFERROR(__xludf.dummyfunction("""COMPUTED_VALUE"""),44582)</f>
        <v>44582</v>
      </c>
      <c r="C56" s="0" t="n">
        <f aca="false">IFERROR(__xludf.dummyfunction("""COMPUTED_VALUE"""),2)</f>
        <v>2</v>
      </c>
      <c r="D56" s="0" t="str">
        <f aca="false">IFERROR(__xludf.dummyfunction("""COMPUTED_VALUE"""),"SIPI202108-22-1| Continuar con el proceso de Saneamiento de Colpensiones … (02/01/2021 - 01/08/2021)")</f>
        <v>SIPI202108-22-1| Continuar con el proceso de Saneamiento de Colpensiones … (02/01/2021 - 01/08/2021)</v>
      </c>
      <c r="E56" s="0" t="str">
        <f aca="false">IFERROR(__xludf.dummyfunction("""COMPUTED_VALUE"""),"Se realizó la conciliación entre Colpensiones y la Subred norte hasta el año 2016 como consta en las actas que se anexan.  ")</f>
        <v>Se realizó la conciliación entre Colpensiones y la Subred norte hasta el año 2016 como consta en las actas que se anexan.  </v>
      </c>
      <c r="F56" s="0" t="str">
        <f aca="false">IFERROR(__xludf.dummyfunction("""COMPUTED_VALUE"""),"Completo")</f>
        <v>Completo</v>
      </c>
    </row>
    <row r="57" customFormat="false" ht="14.25" hidden="false" customHeight="false" outlineLevel="0" collapsed="false">
      <c r="A57" s="18" t="str">
        <f aca="false">IFERROR(MID(D57,1,FIND("|",D57)-1)&amp;"-"&amp;C57,"")</f>
        <v>SIPI202108-23-1-2</v>
      </c>
      <c r="B57" s="19" t="n">
        <f aca="false">IFERROR(__xludf.dummyfunction("""COMPUTED_VALUE"""),44582)</f>
        <v>44582</v>
      </c>
      <c r="C57" s="0" t="n">
        <f aca="false">IFERROR(__xludf.dummyfunction("""COMPUTED_VALUE"""),2)</f>
        <v>2</v>
      </c>
      <c r="D57" s="0" t="str">
        <f aca="false">IFERROR(__xludf.dummyfunction("""COMPUTED_VALUE"""),"SIPI202108-23-1| Comunicación para la implementación de la expedición de actos administrativos como lo norma el Decreto 648 … (06/01/2021 - 06/01/2021)")</f>
        <v>SIPI202108-23-1| Comunicación para la implementación de la expedición de actos administrativos como lo norma el Decreto 648 … (06/01/2021 - 06/01/2021)</v>
      </c>
      <c r="E57" s="0" t="str">
        <f aca="false">IFERROR(__xludf.dummyfunction("""COMPUTED_VALUE"""),"La Dirección de Talento Humano expide los actos administrativos en el caso de las licencias por enfermedad de conformidad con el Decreto 648.")</f>
        <v>La Dirección de Talento Humano expide los actos administrativos en el caso de las licencias por enfermedad de conformidad con el Decreto 648.</v>
      </c>
      <c r="F57" s="0" t="str">
        <f aca="false">IFERROR(__xludf.dummyfunction("""COMPUTED_VALUE"""),"Completo")</f>
        <v>Completo</v>
      </c>
    </row>
    <row r="58" customFormat="false" ht="14.25" hidden="false" customHeight="false" outlineLevel="0" collapsed="false">
      <c r="A58" s="18" t="str">
        <f aca="false">IFERROR(MID(D58,1,FIND("|",D58)-1)&amp;"-"&amp;C58,"")</f>
        <v>SIPI202108-25-1-2</v>
      </c>
      <c r="B58" s="19" t="n">
        <f aca="false">IFERROR(__xludf.dummyfunction("""COMPUTED_VALUE"""),44582)</f>
        <v>44582</v>
      </c>
      <c r="C58" s="0" t="n">
        <f aca="false">IFERROR(__xludf.dummyfunction("""COMPUTED_VALUE"""),2)</f>
        <v>2</v>
      </c>
      <c r="D58" s="0" t="str">
        <f aca="false">IFERROR(__xludf.dummyfunction("""COMPUTED_VALUE"""),"SIPI202108-25-1| Extraer a través del software de nómina los tiempos laborados y pagados que den cuenta de los compensatorios … (01/02/2021 - 01/08/2021)")</f>
        <v>SIPI202108-25-1| Extraer a través del software de nómina los tiempos laborados y pagados que den cuenta de los compensatorios … (01/02/2021 - 01/08/2021)</v>
      </c>
      <c r="E58" s="0" t="str">
        <f aca="false">IFERROR(__xludf.dummyfunction("""COMPUTED_VALUE"""),"Se genero el consolidado de los compensatorios de los años 2017, 2018, 2019, 2020 y 2021, mediante oficio fue enviado a los lideres para su revisión y seguimiento ")</f>
        <v>Se genero el consolidado de los compensatorios de los años 2017, 2018, 2019, 2020 y 2021, mediante oficio fue enviado a los lideres para su revisión y seguimiento </v>
      </c>
      <c r="F58" s="0" t="str">
        <f aca="false">IFERROR(__xludf.dummyfunction("""COMPUTED_VALUE"""),"Completo")</f>
        <v>Completo</v>
      </c>
    </row>
    <row r="59" customFormat="false" ht="14.25" hidden="false" customHeight="false" outlineLevel="0" collapsed="false">
      <c r="A59" s="18" t="str">
        <f aca="false">IFERROR(MID(D59,1,FIND("|",D59)-1)&amp;"-"&amp;C59,"")</f>
        <v>SIPI202108-27-1-2</v>
      </c>
      <c r="B59" s="19" t="n">
        <f aca="false">IFERROR(__xludf.dummyfunction("""COMPUTED_VALUE"""),44582)</f>
        <v>44582</v>
      </c>
      <c r="C59" s="0" t="n">
        <f aca="false">IFERROR(__xludf.dummyfunction("""COMPUTED_VALUE"""),2)</f>
        <v>2</v>
      </c>
      <c r="D59" s="0" t="str">
        <f aca="false">IFERROR(__xludf.dummyfunction("""COMPUTED_VALUE"""),"SIPI202108-27-1| Parametrizar y realizar la liquidación de cesantías e informes de las mismas en el sistema de nómina Sinergy … (01/02/2021 - 01/08/2021)")</f>
        <v>SIPI202108-27-1| Parametrizar y realizar la liquidación de cesantías e informes de las mismas en el sistema de nómina Sinergy … (01/02/2021 - 01/08/2021)</v>
      </c>
      <c r="E59" s="0" t="str">
        <f aca="false">IFERROR(__xludf.dummyfunction("""COMPUTED_VALUE"""),"Se concluyo con la parametrización de las cesantías retroactivas y de ley 50 en el modulo de nómina del sistema de información Sinergy, se realizaron las liquidaciones y las pruebas necesarias como se observa en los anexos.   ")</f>
        <v>Se concluyo con la parametrización de las cesantías retroactivas y de ley 50 en el modulo de nómina del sistema de información Sinergy, se realizaron las liquidaciones y las pruebas necesarias como se observa en los anexos.   </v>
      </c>
      <c r="F59" s="0" t="str">
        <f aca="false">IFERROR(__xludf.dummyfunction("""COMPUTED_VALUE"""),"Completo")</f>
        <v>Completo</v>
      </c>
    </row>
    <row r="60" customFormat="false" ht="14.25" hidden="false" customHeight="false" outlineLevel="0" collapsed="false">
      <c r="A60" s="18" t="str">
        <f aca="false">IFERROR(MID(D60,1,FIND("|",D60)-1)&amp;"-"&amp;C60,"")</f>
        <v>SIPI202108-29-1-2</v>
      </c>
      <c r="B60" s="19" t="n">
        <f aca="false">IFERROR(__xludf.dummyfunction("""COMPUTED_VALUE"""),44582)</f>
        <v>44582</v>
      </c>
      <c r="C60" s="0" t="n">
        <f aca="false">IFERROR(__xludf.dummyfunction("""COMPUTED_VALUE"""),2)</f>
        <v>2</v>
      </c>
      <c r="D60" s="0" t="str">
        <f aca="false">IFERROR(__xludf.dummyfunction("""COMPUTED_VALUE"""),"SIPI202108-29-1| Solicitar el informe del estatus actual del proceso de depuración de SGP vigencia 2020. (21/01/2021 - 21/01/2021)")</f>
        <v>SIPI202108-29-1| Solicitar el informe del estatus actual del proceso de depuración de SGP vigencia 2020. (21/01/2021 - 21/01/2021)</v>
      </c>
      <c r="E60" s="0" t="str">
        <f aca="false">IFERROR(__xludf.dummyfunction("""COMPUTED_VALUE"""),"Se solicito a Ministerio de Salud el estatus en el proceso de depuración mediante un oficio. ")</f>
        <v>Se solicito a Ministerio de Salud el estatus en el proceso de depuración mediante un oficio. </v>
      </c>
      <c r="F60" s="0" t="str">
        <f aca="false">IFERROR(__xludf.dummyfunction("""COMPUTED_VALUE"""),"Atrasado")</f>
        <v>Atrasado</v>
      </c>
    </row>
    <row r="61" customFormat="false" ht="14.25" hidden="false" customHeight="false" outlineLevel="0" collapsed="false">
      <c r="A61" s="18" t="str">
        <f aca="false">IFERROR(MID(D61,1,FIND("|",D61)-1)&amp;"-"&amp;C61,"")</f>
        <v>SIPI202108-30-1-2</v>
      </c>
      <c r="B61" s="19" t="n">
        <f aca="false">IFERROR(__xludf.dummyfunction("""COMPUTED_VALUE"""),44582)</f>
        <v>44582</v>
      </c>
      <c r="C61" s="0" t="n">
        <f aca="false">IFERROR(__xludf.dummyfunction("""COMPUTED_VALUE"""),2)</f>
        <v>2</v>
      </c>
      <c r="D61" s="0" t="str">
        <f aca="false">IFERROR(__xludf.dummyfunction("""COMPUTED_VALUE"""),"SIPI202108-30-1| Establecer una herramienta de seguimiento, avance y control mensual de la depuración de SGP de la entidad … (01/07/2021 - 01/08/2021)")</f>
        <v>SIPI202108-30-1| Establecer una herramienta de seguimiento, avance y control mensual de la depuración de SGP de la entidad … (01/07/2021 - 01/08/2021)</v>
      </c>
      <c r="E61" s="0" t="str">
        <f aca="false">IFERROR(__xludf.dummyfunction("""COMPUTED_VALUE"""),"Se estableció como herramienta el informe de Gestión de la Dirección de Talento Humano para realizar el seguimiento y avance de la depuración del SGP. En el mes de diciembre de 2021 se remitió dicho informe al área financiera. ")</f>
        <v>Se estableció como herramienta el informe de Gestión de la Dirección de Talento Humano para realizar el seguimiento y avance de la depuración del SGP. En el mes de diciembre de 2021 se remitió dicho informe al área financiera. </v>
      </c>
      <c r="F61" s="0" t="str">
        <f aca="false">IFERROR(__xludf.dummyfunction("""COMPUTED_VALUE"""),"Atrasado")</f>
        <v>Atrasado</v>
      </c>
    </row>
    <row r="62" customFormat="false" ht="14.25" hidden="false" customHeight="false" outlineLevel="0" collapsed="false">
      <c r="A62" s="18" t="str">
        <f aca="false">IFERROR(MID(D62,1,FIND("|",D62)-1)&amp;"-"&amp;C62,"")</f>
        <v>SIPI202108-31-1-2</v>
      </c>
      <c r="B62" s="19" t="n">
        <f aca="false">IFERROR(__xludf.dummyfunction("""COMPUTED_VALUE"""),44582)</f>
        <v>44582</v>
      </c>
      <c r="C62" s="0" t="n">
        <f aca="false">IFERROR(__xludf.dummyfunction("""COMPUTED_VALUE"""),2)</f>
        <v>2</v>
      </c>
      <c r="D62" s="0" t="str">
        <f aca="false">IFERROR(__xludf.dummyfunction("""COMPUTED_VALUE"""),"SIPI202108-31-1| Diseñar, validar, aprobar e implementar los procedimientos y formatos para la correcta la liquidación de nómina … (01/04/2021 - 01/07/2021)")</f>
        <v>SIPI202108-31-1| Diseñar, validar, aprobar e implementar los procedimientos y formatos para la correcta la liquidación de nómina … (01/04/2021 - 01/07/2021)</v>
      </c>
      <c r="E62" s="0" t="str">
        <f aca="false">IFERROR(__xludf.dummyfunction("""COMPUTED_VALUE"""),"Se realizo la actualización de los procedimientos de Talento Humano - Nomina los cuales fueron remitidos a calidad.")</f>
        <v>Se realizo la actualización de los procedimientos de Talento Humano - Nomina los cuales fueron remitidos a calidad.</v>
      </c>
      <c r="F62" s="0" t="str">
        <f aca="false">IFERROR(__xludf.dummyfunction("""COMPUTED_VALUE"""),"Completo")</f>
        <v>Completo</v>
      </c>
    </row>
    <row r="63" customFormat="false" ht="14.25" hidden="false" customHeight="false" outlineLevel="0" collapsed="false">
      <c r="A63" s="18" t="str">
        <f aca="false">IFERROR(MID(D63,1,FIND("|",D63)-1)&amp;"-"&amp;C63,"")</f>
        <v>SIPI202108-32-1-2</v>
      </c>
      <c r="B63" s="19" t="n">
        <f aca="false">IFERROR(__xludf.dummyfunction("""COMPUTED_VALUE"""),44582)</f>
        <v>44582</v>
      </c>
      <c r="C63" s="0" t="n">
        <f aca="false">IFERROR(__xludf.dummyfunction("""COMPUTED_VALUE"""),2)</f>
        <v>2</v>
      </c>
      <c r="D63" s="0" t="str">
        <f aca="false">IFERROR(__xludf.dummyfunction("""COMPUTED_VALUE"""),"SIPI202108-32-1| Diseñar, validar, aprobar e implementar indicadores que den respuesta de la gestión de trámites relacionados con la liquidación de nómina (01/06/2021 - 31/12/2021)")</f>
        <v>SIPI202108-32-1| Diseñar, validar, aprobar e implementar indicadores que den respuesta de la gestión de trámites relacionados con la liquidación de nómina (01/06/2021 - 31/12/2021)</v>
      </c>
      <c r="E63" s="0" t="str">
        <f aca="false">IFERROR(__xludf.dummyfunction("""COMPUTED_VALUE"""),"La Dirección de Talento Humano formulo los indicadores relacionados con la nómina con el acompañamiento del área de calidad los cuales fueron remitidos a calidad para su respectiva codificación. ")</f>
        <v>La Dirección de Talento Humano formulo los indicadores relacionados con la nómina con el acompañamiento del área de calidad los cuales fueron remitidos a calidad para su respectiva codificación. </v>
      </c>
      <c r="F63" s="0" t="str">
        <f aca="false">IFERROR(__xludf.dummyfunction("""COMPUTED_VALUE"""),"Atrasado")</f>
        <v>Atrasado</v>
      </c>
    </row>
    <row r="64" customFormat="false" ht="14.25" hidden="false" customHeight="false" outlineLevel="0" collapsed="false">
      <c r="A64" s="18" t="str">
        <f aca="false">IFERROR(MID(D64,1,FIND("|",D64)-1)&amp;"-"&amp;C64,"")</f>
        <v>SIPI202108-24-1-2</v>
      </c>
      <c r="B64" s="19" t="n">
        <f aca="false">IFERROR(__xludf.dummyfunction("""COMPUTED_VALUE"""),44582)</f>
        <v>44582</v>
      </c>
      <c r="C64" s="0" t="n">
        <f aca="false">IFERROR(__xludf.dummyfunction("""COMPUTED_VALUE"""),2)</f>
        <v>2</v>
      </c>
      <c r="D64" s="0" t="str">
        <f aca="false">IFERROR(__xludf.dummyfunction("""COMPUTED_VALUE"""),"SIPI202108-24-1| Diseñar e implementar una herramienta para el seguimiento y control de incapacidades. (01/03/2021 - 30/06/2021)")</f>
        <v>SIPI202108-24-1| Diseñar e implementar una herramienta para el seguimiento y control de incapacidades. (01/03/2021 - 30/06/2021)</v>
      </c>
      <c r="E64" s="0" t="str">
        <f aca="false">IFERROR(__xludf.dummyfunction("""COMPUTED_VALUE"""),"La acción formulada inicialmente por Talento Humano decía ""Implementar una herramienta tecnológica  donde se consolida la información de incapacidades llamada INCAX, la cual permite el registro unificado y el control de la información de este proceso con"&amp;" las validaciones necesarias para aportar seguridad y confiabilidad al mismo"" dado que esa acción no se puedo adelantar porque el contrato para la elaboración de INCAX no se pudo finalizar., talento humano propuso diseñar una hoja de cálculo para unifica"&amp;"r el registro de incapacidades e Implementar el sistema tecnológico Sinergy para el manejo de las incapacidades.  siguiente:
Con ayuda del ingeniero Luis Tristancho, se realizó verificación de la hoja de cálculo """"Registro de incapacidades"""" establec"&amp;"ida como archivo único para consolidar y controlar la información derivada de la gestión de incapacidades, junto con el aplicativo de Sinergy. En esta hoja se observa la inclusión de la información necesaria para registrar, gestionar y controlar las incap"&amp;"acidades.  La formulación de este archivo cuenta los controles requeridos para garantizar adecuada gestión de la información y la seguridad de la misma tiene número consecutivo, evita la duplicidad de registros, aplica controles a fechas de incapacidad di"&amp;"ligenciadas, tiene alertas de número de días, entre otros El proceso de control se está realizando mediante la comparación de este archivo con el archivo generado después del trámite de incapacidades de Sinergy. ")</f>
        <v>La acción formulada inicialmente por Talento Humano decía "Implementar una herramienta tecnológica  donde se consolida la información de incapacidades llamada INCAX, la cual permite el registro unificado y el control de la información de este proceso con las validaciones necesarias para aportar seguridad y confiabilidad al mismo" dado que esa acción no se puedo adelantar porque el contrato para la elaboración de INCAX no se pudo finalizar., talento humano propuso diseñar una hoja de cálculo para unificar el registro de incapacidades e Implementar el sistema tecnológico Sinergy para el manejo de las incapacidades.  siguiente:
Con ayuda del ingeniero Luis Tristancho, se realizó verificación de la hoja de cálculo ""Registro de incapacidades"" establecida como archivo único para consolidar y controlar la información derivada de la gestión de incapacidades, junto con el aplicativo de Sinergy. En esta hoja se observa la inclusión de la información necesaria para registrar, gestionar y controlar las incapacidades.  La formulación de este archivo cuenta los controles requeridos para garantizar adecuada gestión de la información y la seguridad de la misma tiene número consecutivo, evita la duplicidad de registros, aplica controles a fechas de incapacidad diligenciadas, tiene alertas de número de días, entre otros El proceso de control se está realizando mediante la comparación de este archivo con el archivo generado después del trámite de incapacidades de Sinergy. </v>
      </c>
      <c r="F64" s="0" t="str">
        <f aca="false">IFERROR(__xludf.dummyfunction("""COMPUTED_VALUE"""),"Completo")</f>
        <v>Completo</v>
      </c>
    </row>
    <row r="65" customFormat="false" ht="14.25" hidden="false" customHeight="false" outlineLevel="0" collapsed="false">
      <c r="A65" s="18" t="str">
        <f aca="false">IFERROR(MID(D65,1,FIND("|",D65)-1)&amp;"-"&amp;C65,"")</f>
        <v>SIPI202108-1-1-3</v>
      </c>
      <c r="B65" s="19" t="n">
        <f aca="false">IFERROR(__xludf.dummyfunction("""COMPUTED_VALUE"""),44657)</f>
        <v>44657</v>
      </c>
      <c r="C65" s="0" t="n">
        <f aca="false">IFERROR(__xludf.dummyfunction("""COMPUTED_VALUE"""),3)</f>
        <v>3</v>
      </c>
      <c r="D65" s="0" t="str">
        <f aca="false">IFERROR(__xludf.dummyfunction("""COMPUTED_VALUE"""),"SIPI202108-1-1| Implementación y puesta en marcha del Software (02/01/2021 - 01/02/2021)")</f>
        <v>SIPI202108-1-1| Implementación y puesta en marcha del Software (02/01/2021 - 01/02/2021)</v>
      </c>
      <c r="E65" s="0" t="str">
        <f aca="false">IFERROR(__xludf.dummyfunction("""COMPUTED_VALUE"""),"En la implementación y puesta en marcha del sistema Sinergy se han presentado problemas entre los cuales se encuentra: (1) no contar con un canal directo de comunicación entre Sinergy y la Subred, (2) desconocimiento del contrato y de los acuerdos del niv"&amp;"el de servicio (ANS), (3) no se tiene información de quien es la data, no se conoce sobre los backups etc. ")</f>
        <v>En la implementación y puesta en marcha del sistema Sinergy se han presentado problemas entre los cuales se encuentra: (1) no contar con un canal directo de comunicación entre Sinergy y la Subred, (2) desconocimiento del contrato y de los acuerdos del nivel de servicio (ANS), (3) no se tiene información de quien es la data, no se conoce sobre los backups etc. </v>
      </c>
      <c r="F65" s="0" t="str">
        <f aca="false">IFERROR(__xludf.dummyfunction("""COMPUTED_VALUE"""),"Atrasado")</f>
        <v>Atrasado</v>
      </c>
    </row>
    <row r="66" customFormat="false" ht="14.25" hidden="false" customHeight="false" outlineLevel="0" collapsed="false">
      <c r="A66" s="18" t="str">
        <f aca="false">IFERROR(MID(D66,1,FIND("|",D66)-1)&amp;"-"&amp;C66,"")</f>
        <v>SIPI202108-7-1-3</v>
      </c>
      <c r="B66" s="19" t="n">
        <f aca="false">IFERROR(__xludf.dummyfunction("""COMPUTED_VALUE"""),44657)</f>
        <v>44657</v>
      </c>
      <c r="C66" s="0" t="n">
        <f aca="false">IFERROR(__xludf.dummyfunction("""COMPUTED_VALUE"""),3)</f>
        <v>3</v>
      </c>
      <c r="D66" s="0" t="str">
        <f aca="false">IFERROR(__xludf.dummyfunction("""COMPUTED_VALUE"""),"SIPI202108-7-1| Realizar sesiones de trabajo con la Dirección Financiera (Proceso de contabilidad) ,,, (02/01/2021 - 30/06/2021)")</f>
        <v>SIPI202108-7-1| Realizar sesiones de trabajo con la Dirección Financiera (Proceso de contabilidad) ,,, (02/01/2021 - 30/06/2021)</v>
      </c>
      <c r="E66" s="0" t="str">
        <f aca="false">IFERROR(__xludf.dummyfunction("""COMPUTED_VALUE"""),"Este proceso se retomo en esta vigencia, debido al cambio de contador de la subred. Se han realizado reuniones con la Dirección Financiera - Contabilidad y la empresa Sinergy a la fecha del seguimiento no se ha definido la forma correcta de realizar las p"&amp;"rovisiones, se debe definir si genera una cuenta de reclasificación o si se solicita un desarrollo a la empresa Sinergy.")</f>
        <v>Este proceso se retomo en esta vigencia, debido al cambio de contador de la subred. Se han realizado reuniones con la Dirección Financiera - Contabilidad y la empresa Sinergy a la fecha del seguimiento no se ha definido la forma correcta de realizar las provisiones, se debe definir si genera una cuenta de reclasificación o si se solicita un desarrollo a la empresa Sinergy.</v>
      </c>
      <c r="F66" s="0" t="str">
        <f aca="false">IFERROR(__xludf.dummyfunction("""COMPUTED_VALUE"""),"Atrasado")</f>
        <v>Atrasado</v>
      </c>
    </row>
    <row r="67" customFormat="false" ht="14.25" hidden="false" customHeight="false" outlineLevel="0" collapsed="false">
      <c r="A67" s="18" t="str">
        <f aca="false">IFERROR(MID(D67,1,FIND("|",D67)-1)&amp;"-"&amp;C67,"")</f>
        <v>SIPI202108-25-3-3</v>
      </c>
      <c r="B67" s="19" t="n">
        <f aca="false">IFERROR(__xludf.dummyfunction("""COMPUTED_VALUE"""),44657)</f>
        <v>44657</v>
      </c>
      <c r="C67" s="0" t="n">
        <f aca="false">IFERROR(__xludf.dummyfunction("""COMPUTED_VALUE"""),3)</f>
        <v>3</v>
      </c>
      <c r="D67" s="0" t="str">
        <f aca="false">IFERROR(__xludf.dummyfunction("""COMPUTED_VALUE"""),"SIPI202108-25-3| Realizar por lo menos 3 modelos o estrategias para la compensación de dicho beneficio teniendo en cuenta … (01/02/2021 - 01/08/2021)")</f>
        <v>SIPI202108-25-3| Realizar por lo menos 3 modelos o estrategias para la compensación de dicho beneficio teniendo en cuenta … (01/02/2021 - 01/08/2021)</v>
      </c>
      <c r="E67" s="0" t="str">
        <f aca="false">IFERROR(__xludf.dummyfunction("""COMPUTED_VALUE"""),"La Secretaría Distrital de Salud realiza reuniones con las cuatro Subredes para definir los lineamientos a seguir con relación a los compensatorios. Una vez se establezcan dichos lineamientos se presentaran las 3 estrategias para la compensación de este b"&amp;"eneficio.")</f>
        <v>La Secretaría Distrital de Salud realiza reuniones con las cuatro Subredes para definir los lineamientos a seguir con relación a los compensatorios. Una vez se establezcan dichos lineamientos se presentaran las 3 estrategias para la compensación de este beneficio.</v>
      </c>
      <c r="F67" s="0" t="str">
        <f aca="false">IFERROR(__xludf.dummyfunction("""COMPUTED_VALUE"""),"Atrasado")</f>
        <v>Atrasado</v>
      </c>
    </row>
    <row r="68" customFormat="false" ht="14.25" hidden="false" customHeight="false" outlineLevel="0" collapsed="false">
      <c r="A68" s="18" t="str">
        <f aca="false">IFERROR(MID(D68,1,FIND("|",D68)-1)&amp;"-"&amp;C68,"")</f>
        <v>SIPI202108-25-4-3</v>
      </c>
      <c r="B68" s="19" t="n">
        <f aca="false">IFERROR(__xludf.dummyfunction("""COMPUTED_VALUE"""),44657)</f>
        <v>44657</v>
      </c>
      <c r="C68" s="0" t="n">
        <f aca="false">IFERROR(__xludf.dummyfunction("""COMPUTED_VALUE"""),3)</f>
        <v>3</v>
      </c>
      <c r="D68" s="0" t="str">
        <f aca="false">IFERROR(__xludf.dummyfunction("""COMPUTED_VALUE"""),"SIPI202108-25-4| Presentar a la Gerencia y Subgerencia Corporativa estrategias para pago de compensatorios … (01/02/2021 - 01/08/2021)")</f>
        <v>SIPI202108-25-4| Presentar a la Gerencia y Subgerencia Corporativa estrategias para pago de compensatorios … (01/02/2021 - 01/08/2021)</v>
      </c>
      <c r="E68" s="0" t="str">
        <f aca="false">IFERROR(__xludf.dummyfunction("""COMPUTED_VALUE"""),"Esta acción depende del lineamiento que defina la Secretaria Distrital de Salud para los compensatorios.  ")</f>
        <v>Esta acción depende del lineamiento que defina la Secretaria Distrital de Salud para los compensatorios.  </v>
      </c>
      <c r="F68" s="0" t="str">
        <f aca="false">IFERROR(__xludf.dummyfunction("""COMPUTED_VALUE"""),"Atrasado")</f>
        <v>Atrasado</v>
      </c>
    </row>
    <row r="69" customFormat="false" ht="14.25" hidden="false" customHeight="false" outlineLevel="0" collapsed="false">
      <c r="A69" s="18" t="str">
        <f aca="false">IFERROR(MID(D69,1,FIND("|",D69)-1)&amp;"-"&amp;C69,"")</f>
        <v>SIPI202108-26-1-3</v>
      </c>
      <c r="B69" s="19" t="n">
        <f aca="false">IFERROR(__xludf.dummyfunction("""COMPUTED_VALUE"""),44657)</f>
        <v>44657</v>
      </c>
      <c r="C69" s="0" t="n">
        <f aca="false">IFERROR(__xludf.dummyfunction("""COMPUTED_VALUE"""),3)</f>
        <v>3</v>
      </c>
      <c r="D69" s="0" t="str">
        <f aca="false">IFERROR(__xludf.dummyfunction("""COMPUTED_VALUE"""),"SIPI202108-26-1| Capacitación a los colaboradores con personal a cargo con relación a la programación de turnos … (01/07/2021 - 01/09/2021)")</f>
        <v>SIPI202108-26-1| Capacitación a los colaboradores con personal a cargo con relación a la programación de turnos … (01/07/2021 - 01/09/2021)</v>
      </c>
      <c r="E69" s="0" t="str">
        <f aca="false">IFERROR(__xludf.dummyfunction("""COMPUTED_VALUE"""),"Esta acción se realizara una vez la Dirección de Talento Humano de la Secretaria Distrital de Salud de lineamiento para el manejo de los compensatorios.  ")</f>
        <v>Esta acción se realizara una vez la Dirección de Talento Humano de la Secretaria Distrital de Salud de lineamiento para el manejo de los compensatorios.  </v>
      </c>
      <c r="F69" s="0" t="str">
        <f aca="false">IFERROR(__xludf.dummyfunction("""COMPUTED_VALUE"""),"Atrasado")</f>
        <v>Atrasado</v>
      </c>
    </row>
    <row r="70" customFormat="false" ht="14.25" hidden="false" customHeight="false" outlineLevel="0" collapsed="false">
      <c r="A70" s="18" t="str">
        <f aca="false">IFERROR(MID(D70,1,FIND("|",D70)-1)&amp;"-"&amp;C70,"")</f>
        <v>SIPI202108-32-1-3</v>
      </c>
      <c r="B70" s="19" t="n">
        <f aca="false">IFERROR(__xludf.dummyfunction("""COMPUTED_VALUE"""),44657)</f>
        <v>44657</v>
      </c>
      <c r="C70" s="0" t="n">
        <f aca="false">IFERROR(__xludf.dummyfunction("""COMPUTED_VALUE"""),3)</f>
        <v>3</v>
      </c>
      <c r="D70" s="0" t="str">
        <f aca="false">IFERROR(__xludf.dummyfunction("""COMPUTED_VALUE"""),"SIPI202108-32-1| Diseñar, validar, aprobar e implementar indicadores que den respuesta de la gestión de trámites relacionados con la liquidación de nómina (01/06/2021 - 31/12/2021)")</f>
        <v>SIPI202108-32-1| Diseñar, validar, aprobar e implementar indicadores que den respuesta de la gestión de trámites relacionados con la liquidación de nómina (01/06/2021 - 31/12/2021)</v>
      </c>
      <c r="E70" s="0" t="str">
        <f aca="false">IFERROR(__xludf.dummyfunction("""COMPUTED_VALUE"""),"La Dirección de Talento Humano desde el mes de junio del año 2021 presenta el informe de gestión de la nómina mensualmente los siguientes indicadores: 1. porcentaje de Calidad en el pago de la Nómina 2. Horas Extras y tiempo suplementario 3. Costo del aus"&amp;"entismo y Vacaciones. ")</f>
        <v>La Dirección de Talento Humano desde el mes de junio del año 2021 presenta el informe de gestión de la nómina mensualmente los siguientes indicadores: 1. porcentaje de Calidad en el pago de la Nómina 2. Horas Extras y tiempo suplementario 3. Costo del ausentismo y Vacaciones. </v>
      </c>
      <c r="F70" s="0" t="str">
        <f aca="false">IFERROR(__xludf.dummyfunction("""COMPUTED_VALUE"""),"Atrasado")</f>
        <v>Atrasado</v>
      </c>
    </row>
    <row r="71" customFormat="false" ht="14.25" hidden="false" customHeight="false" outlineLevel="0" collapsed="false">
      <c r="A71" s="18" t="str">
        <f aca="false">IFERROR(MID(D71,1,FIND("|",D71)-1)&amp;"-"&amp;C71,"")</f>
        <v>SIPI202108-29-1-3</v>
      </c>
      <c r="B71" s="19" t="n">
        <f aca="false">IFERROR(__xludf.dummyfunction("""COMPUTED_VALUE"""),44657)</f>
        <v>44657</v>
      </c>
      <c r="C71" s="0" t="n">
        <f aca="false">IFERROR(__xludf.dummyfunction("""COMPUTED_VALUE"""),3)</f>
        <v>3</v>
      </c>
      <c r="D71" s="0" t="str">
        <f aca="false">IFERROR(__xludf.dummyfunction("""COMPUTED_VALUE"""),"SIPI202108-29-1| Solicitar el informe del estatus actual del proceso de depuración de SGP vigencia 2020. (21/01/2021 - 21/01/2021)")</f>
        <v>SIPI202108-29-1| Solicitar el informe del estatus actual del proceso de depuración de SGP vigencia 2020. (21/01/2021 - 21/01/2021)</v>
      </c>
      <c r="E71" s="0" t="str">
        <f aca="false">IFERROR(__xludf.dummyfunction("""COMPUTED_VALUE"""),"Se realizo la conciliación entre la Subred y Colpensiones desde el año 1994 hasta el 2016. ")</f>
        <v>Se realizo la conciliación entre la Subred y Colpensiones desde el año 1994 hasta el 2016. </v>
      </c>
      <c r="F71" s="0" t="str">
        <f aca="false">IFERROR(__xludf.dummyfunction("""COMPUTED_VALUE"""),"Atrasado")</f>
        <v>Atrasado</v>
      </c>
    </row>
    <row r="72" customFormat="false" ht="14.25" hidden="false" customHeight="false" outlineLevel="0" collapsed="false">
      <c r="A72" s="18" t="str">
        <f aca="false">IFERROR(MID(D72,1,FIND("|",D72)-1)&amp;"-"&amp;C72,"")</f>
        <v>SIPI202108-30-1-3</v>
      </c>
      <c r="B72" s="19" t="n">
        <f aca="false">IFERROR(__xludf.dummyfunction("""COMPUTED_VALUE"""),44657)</f>
        <v>44657</v>
      </c>
      <c r="C72" s="0" t="n">
        <f aca="false">IFERROR(__xludf.dummyfunction("""COMPUTED_VALUE"""),3)</f>
        <v>3</v>
      </c>
      <c r="D72" s="0" t="str">
        <f aca="false">IFERROR(__xludf.dummyfunction("""COMPUTED_VALUE"""),"SIPI202108-30-1| Establecer una herramienta de seguimiento, avance y control mensual de la depuración de SGP de la entidad … (01/07/2021 - 01/08/2021)")</f>
        <v>SIPI202108-30-1| Establecer una herramienta de seguimiento, avance y control mensual de la depuración de SGP de la entidad … (01/07/2021 - 01/08/2021)</v>
      </c>
      <c r="E72" s="0" t="str">
        <f aca="false">IFERROR(__xludf.dummyfunction("""COMPUTED_VALUE"""),"Con corte a 31 de marzo no se ha establecido una herramienta para realizar el seguimiento mensual del avance y control mensual de la depuración del SGFP")</f>
        <v>Con corte a 31 de marzo no se ha establecido una herramienta para realizar el seguimiento mensual del avance y control mensual de la depuración del SGFP</v>
      </c>
      <c r="F72" s="0" t="str">
        <f aca="false">IFERROR(__xludf.dummyfunction("""COMPUTED_VALUE"""),"Atrasado")</f>
        <v>Atrasado</v>
      </c>
    </row>
    <row r="73" customFormat="false" ht="14.25" hidden="false" customHeight="false" outlineLevel="0" collapsed="false">
      <c r="A73" s="18" t="str">
        <f aca="false">IFERROR(MID(D73,1,FIND("|",D73)-1)&amp;"-"&amp;C73,"")</f>
        <v>SIPI202108-1-1-4</v>
      </c>
      <c r="B73" s="19" t="n">
        <f aca="false">IFERROR(__xludf.dummyfunction("""COMPUTED_VALUE"""),44748)</f>
        <v>44748</v>
      </c>
      <c r="C73" s="0" t="n">
        <f aca="false">IFERROR(__xludf.dummyfunction("""COMPUTED_VALUE"""),4)</f>
        <v>4</v>
      </c>
      <c r="D73" s="0" t="str">
        <f aca="false">IFERROR(__xludf.dummyfunction("""COMPUTED_VALUE"""),"SIPI202108-1-1| Implementación y puesta en marcha del Software (02/01/2021 - 01/02/2021)")</f>
        <v>SIPI202108-1-1| Implementación y puesta en marcha del Software (02/01/2021 - 01/02/2021)</v>
      </c>
      <c r="E73" s="0" t="str">
        <f aca="false">IFERROR(__xludf.dummyfunction("""COMPUTED_VALUE"""),"Durante la visita realizada al área la responsable de Nomina  Adriana Cristancho manifiesta que considera que no  tiene la competencia y/o alcance para dar respuesta de las acciones porque ya entrego  todo lo que ella puede desarrollar")</f>
        <v>Durante la visita realizada al área la responsable de Nomina  Adriana Cristancho manifiesta que considera que no  tiene la competencia y/o alcance para dar respuesta de las acciones porque ya entrego  todo lo que ella puede desarrollar</v>
      </c>
      <c r="F73" s="0" t="str">
        <f aca="false">IFERROR(__xludf.dummyfunction("""COMPUTED_VALUE"""),"Atrasado")</f>
        <v>Atrasado</v>
      </c>
    </row>
    <row r="74" customFormat="false" ht="14.25" hidden="false" customHeight="false" outlineLevel="0" collapsed="false">
      <c r="A74" s="18" t="str">
        <f aca="false">IFERROR(MID(D74,1,FIND("|",D74)-1)&amp;"-"&amp;C74,"")</f>
        <v>SIPI202108-7-1-4</v>
      </c>
      <c r="B74" s="19" t="n">
        <f aca="false">IFERROR(__xludf.dummyfunction("""COMPUTED_VALUE"""),44748)</f>
        <v>44748</v>
      </c>
      <c r="C74" s="0" t="n">
        <f aca="false">IFERROR(__xludf.dummyfunction("""COMPUTED_VALUE"""),4)</f>
        <v>4</v>
      </c>
      <c r="D74" s="0" t="str">
        <f aca="false">IFERROR(__xludf.dummyfunction("""COMPUTED_VALUE"""),"SIPI202108-7-1| Realizar sesiones de trabajo con la Dirección Financiera (Proceso de contabilidad) ,,, (02/01/2021 - 30/06/2021)")</f>
        <v>SIPI202108-7-1| Realizar sesiones de trabajo con la Dirección Financiera (Proceso de contabilidad) ,,, (02/01/2021 - 30/06/2021)</v>
      </c>
      <c r="E74" s="0" t="str">
        <f aca="false">IFERROR(__xludf.dummyfunction("""COMPUTED_VALUE"""),"Durante la visita realizada al área la responsable de Nomina  Adriana Cristancho manifiesta que considera que no  tiene la competencia y/o alcance para dar respuesta de las acciones porque ya entrego  todo lo que ella puede desarrollar")</f>
        <v>Durante la visita realizada al área la responsable de Nomina  Adriana Cristancho manifiesta que considera que no  tiene la competencia y/o alcance para dar respuesta de las acciones porque ya entrego  todo lo que ella puede desarrollar</v>
      </c>
      <c r="F74" s="0" t="str">
        <f aca="false">IFERROR(__xludf.dummyfunction("""COMPUTED_VALUE"""),"Atrasado")</f>
        <v>Atrasado</v>
      </c>
    </row>
    <row r="75" customFormat="false" ht="14.25" hidden="false" customHeight="false" outlineLevel="0" collapsed="false">
      <c r="A75" s="18" t="str">
        <f aca="false">IFERROR(MID(D75,1,FIND("|",D75)-1)&amp;"-"&amp;C75,"")</f>
        <v>SIPI202108-25-3-4</v>
      </c>
      <c r="B75" s="19" t="n">
        <f aca="false">IFERROR(__xludf.dummyfunction("""COMPUTED_VALUE"""),44748)</f>
        <v>44748</v>
      </c>
      <c r="C75" s="0" t="n">
        <f aca="false">IFERROR(__xludf.dummyfunction("""COMPUTED_VALUE"""),4)</f>
        <v>4</v>
      </c>
      <c r="D75" s="0" t="str">
        <f aca="false">IFERROR(__xludf.dummyfunction("""COMPUTED_VALUE"""),"SIPI202108-25-3| Realizar por lo menos 3 modelos o estrategias para la compensación de dicho beneficio teniendo en cuenta … (01/02/2021 - 01/08/2021)")</f>
        <v>SIPI202108-25-3| Realizar por lo menos 3 modelos o estrategias para la compensación de dicho beneficio teniendo en cuenta … (01/02/2021 - 01/08/2021)</v>
      </c>
      <c r="E75" s="0" t="str">
        <f aca="false">IFERROR(__xludf.dummyfunction("""COMPUTED_VALUE"""),"Durante la visita realizada al área la responsable de Nomina  Adriana Cristancho manifiesta que considera que no  tiene la competencia y/o alcance para dar respuesta de las acciones porque ya entrego  todo lo que ella puede desarrollar")</f>
        <v>Durante la visita realizada al área la responsable de Nomina  Adriana Cristancho manifiesta que considera que no  tiene la competencia y/o alcance para dar respuesta de las acciones porque ya entrego  todo lo que ella puede desarrollar</v>
      </c>
      <c r="F75" s="0" t="str">
        <f aca="false">IFERROR(__xludf.dummyfunction("""COMPUTED_VALUE"""),"Atrasado")</f>
        <v>Atrasado</v>
      </c>
    </row>
    <row r="76" customFormat="false" ht="14.25" hidden="false" customHeight="false" outlineLevel="0" collapsed="false">
      <c r="A76" s="18" t="str">
        <f aca="false">IFERROR(MID(D76,1,FIND("|",D76)-1)&amp;"-"&amp;C76,"")</f>
        <v>SIPI202108-25-4-4</v>
      </c>
      <c r="B76" s="19" t="n">
        <f aca="false">IFERROR(__xludf.dummyfunction("""COMPUTED_VALUE"""),44748)</f>
        <v>44748</v>
      </c>
      <c r="C76" s="0" t="n">
        <f aca="false">IFERROR(__xludf.dummyfunction("""COMPUTED_VALUE"""),4)</f>
        <v>4</v>
      </c>
      <c r="D76" s="0" t="str">
        <f aca="false">IFERROR(__xludf.dummyfunction("""COMPUTED_VALUE"""),"SIPI202108-25-4| Presentar a la Gerencia y Subgerencia Corporativa estrategias para pago de compensatorios … (01/02/2021 - 01/08/2021)")</f>
        <v>SIPI202108-25-4| Presentar a la Gerencia y Subgerencia Corporativa estrategias para pago de compensatorios … (01/02/2021 - 01/08/2021)</v>
      </c>
      <c r="E76" s="0" t="str">
        <f aca="false">IFERROR(__xludf.dummyfunction("""COMPUTED_VALUE"""),"Durante la visita realizada al área la responsable de Nomina  Adriana Cristancho manifiesta que considera que no  tiene la competencia y/o alcance para dar respuesta de las acciones porque ya entrego  todo lo que ella puede desarrollar")</f>
        <v>Durante la visita realizada al área la responsable de Nomina  Adriana Cristancho manifiesta que considera que no  tiene la competencia y/o alcance para dar respuesta de las acciones porque ya entrego  todo lo que ella puede desarrollar</v>
      </c>
      <c r="F76" s="0" t="str">
        <f aca="false">IFERROR(__xludf.dummyfunction("""COMPUTED_VALUE"""),"Atrasado")</f>
        <v>Atrasado</v>
      </c>
    </row>
    <row r="77" customFormat="false" ht="14.25" hidden="false" customHeight="false" outlineLevel="0" collapsed="false">
      <c r="A77" s="18" t="str">
        <f aca="false">IFERROR(MID(D77,1,FIND("|",D77)-1)&amp;"-"&amp;C77,"")</f>
        <v>SIPI202108-26-1-4</v>
      </c>
      <c r="B77" s="19" t="n">
        <f aca="false">IFERROR(__xludf.dummyfunction("""COMPUTED_VALUE"""),44748)</f>
        <v>44748</v>
      </c>
      <c r="C77" s="0" t="n">
        <f aca="false">IFERROR(__xludf.dummyfunction("""COMPUTED_VALUE"""),4)</f>
        <v>4</v>
      </c>
      <c r="D77" s="0" t="str">
        <f aca="false">IFERROR(__xludf.dummyfunction("""COMPUTED_VALUE"""),"SIPI202108-26-1| Capacitación a los colaboradores con personal a cargo con relación a la programación de turnos … (01/07/2021 - 01/09/2021)")</f>
        <v>SIPI202108-26-1| Capacitación a los colaboradores con personal a cargo con relación a la programación de turnos … (01/07/2021 - 01/09/2021)</v>
      </c>
      <c r="E77" s="0" t="str">
        <f aca="false">IFERROR(__xludf.dummyfunction("""COMPUTED_VALUE"""),"Durante la visita realizada al área la responsable de Nomina  Adriana Cristancho manifiesta que considera que no  tiene la competencia y/o alcance para dar respuesta de las acciones porque ya entrego  todo lo que ella puede desarrollar")</f>
        <v>Durante la visita realizada al área la responsable de Nomina  Adriana Cristancho manifiesta que considera que no  tiene la competencia y/o alcance para dar respuesta de las acciones porque ya entrego  todo lo que ella puede desarrollar</v>
      </c>
      <c r="F77" s="0" t="str">
        <f aca="false">IFERROR(__xludf.dummyfunction("""COMPUTED_VALUE"""),"Atrasado")</f>
        <v>Atrasado</v>
      </c>
    </row>
    <row r="78" customFormat="false" ht="14.25" hidden="false" customHeight="false" outlineLevel="0" collapsed="false">
      <c r="A78" s="18" t="str">
        <f aca="false">IFERROR(MID(D78,1,FIND("|",D78)-1)&amp;"-"&amp;C78,"")</f>
        <v>SIPI202108-29-1-4</v>
      </c>
      <c r="B78" s="19" t="n">
        <f aca="false">IFERROR(__xludf.dummyfunction("""COMPUTED_VALUE"""),44748)</f>
        <v>44748</v>
      </c>
      <c r="C78" s="0" t="n">
        <f aca="false">IFERROR(__xludf.dummyfunction("""COMPUTED_VALUE"""),4)</f>
        <v>4</v>
      </c>
      <c r="D78" s="0" t="str">
        <f aca="false">IFERROR(__xludf.dummyfunction("""COMPUTED_VALUE"""),"SIPI202108-29-1| Solicitar el informe del estatus actual del proceso de depuración de SGP vigencia 2020. (21/01/2021 - 21/01/2021)")</f>
        <v>SIPI202108-29-1| Solicitar el informe del estatus actual del proceso de depuración de SGP vigencia 2020. (21/01/2021 - 21/01/2021)</v>
      </c>
      <c r="E78" s="0" t="str">
        <f aca="false">IFERROR(__xludf.dummyfunction("""COMPUTED_VALUE"""),"Durante la visita realizada al área la responsable de Nomina  Adriana Cristancho manifiesta que considera que no  tiene la competencia y/o alcance para dar respuesta de las acciones porque ya entrego  todo lo que ella puede desarrollar")</f>
        <v>Durante la visita realizada al área la responsable de Nomina  Adriana Cristancho manifiesta que considera que no  tiene la competencia y/o alcance para dar respuesta de las acciones porque ya entrego  todo lo que ella puede desarrollar</v>
      </c>
      <c r="F78" s="0" t="str">
        <f aca="false">IFERROR(__xludf.dummyfunction("""COMPUTED_VALUE"""),"Atrasado")</f>
        <v>Atrasado</v>
      </c>
    </row>
    <row r="79" customFormat="false" ht="14.25" hidden="false" customHeight="false" outlineLevel="0" collapsed="false">
      <c r="A79" s="18" t="str">
        <f aca="false">IFERROR(MID(D79,1,FIND("|",D79)-1)&amp;"-"&amp;C79,"")</f>
        <v>SIPI202108-30-1-4</v>
      </c>
      <c r="B79" s="19" t="n">
        <f aca="false">IFERROR(__xludf.dummyfunction("""COMPUTED_VALUE"""),44748)</f>
        <v>44748</v>
      </c>
      <c r="C79" s="0" t="n">
        <f aca="false">IFERROR(__xludf.dummyfunction("""COMPUTED_VALUE"""),4)</f>
        <v>4</v>
      </c>
      <c r="D79" s="0" t="str">
        <f aca="false">IFERROR(__xludf.dummyfunction("""COMPUTED_VALUE"""),"SIPI202108-30-1| Establecer una herramienta de seguimiento, avance y control mensual de la depuración de SGP de la entidad … (01/07/2021 - 01/08/2021)")</f>
        <v>SIPI202108-30-1| Establecer una herramienta de seguimiento, avance y control mensual de la depuración de SGP de la entidad … (01/07/2021 - 01/08/2021)</v>
      </c>
      <c r="E79" s="0" t="str">
        <f aca="false">IFERROR(__xludf.dummyfunction("""COMPUTED_VALUE"""),"Durante la visita realizada al área la responsable de Nomina  Adriana Cristancho manifiesta que considera que no  tiene la competencia y/o alcance para dar respuesta de las acciones porque ya entrego  todo lo que ella puede desarrollar")</f>
        <v>Durante la visita realizada al área la responsable de Nomina  Adriana Cristancho manifiesta que considera que no  tiene la competencia y/o alcance para dar respuesta de las acciones porque ya entrego  todo lo que ella puede desarrollar</v>
      </c>
      <c r="F79" s="0" t="str">
        <f aca="false">IFERROR(__xludf.dummyfunction("""COMPUTED_VALUE"""),"Atrasado")</f>
        <v>Atrasado</v>
      </c>
    </row>
    <row r="80" customFormat="false" ht="14.25" hidden="false" customHeight="false" outlineLevel="0" collapsed="false">
      <c r="A80" s="18" t="str">
        <f aca="false">IFERROR(MID(D80,1,FIND("|",D80)-1)&amp;"-"&amp;C80,"")</f>
        <v>SIPI202108-32-1-4</v>
      </c>
      <c r="B80" s="19" t="n">
        <f aca="false">IFERROR(__xludf.dummyfunction("""COMPUTED_VALUE"""),44748)</f>
        <v>44748</v>
      </c>
      <c r="C80" s="0" t="n">
        <f aca="false">IFERROR(__xludf.dummyfunction("""COMPUTED_VALUE"""),4)</f>
        <v>4</v>
      </c>
      <c r="D80" s="0" t="str">
        <f aca="false">IFERROR(__xludf.dummyfunction("""COMPUTED_VALUE"""),"SIPI202108-32-1| Diseñar, validar, aprobar e implementar indicadores que den respuesta de la gestión de trámites relacionados con la liquidación de nómina (01/06/2021 - 31/12/2021)")</f>
        <v>SIPI202108-32-1| Diseñar, validar, aprobar e implementar indicadores que den respuesta de la gestión de trámites relacionados con la liquidación de nómina (01/06/2021 - 31/12/2021)</v>
      </c>
      <c r="E80" s="0" t="str">
        <f aca="false">IFERROR(__xludf.dummyfunction("""COMPUTED_VALUE"""),"Durante la visita realizada al área la responsable de Nomina  Adriana Cristancho manifiesta que considera que no  tiene la competencia y/o alcance para dar respuesta de las acciones porque ya entrego  todo lo que ella puede desarrollar")</f>
        <v>Durante la visita realizada al área la responsable de Nomina  Adriana Cristancho manifiesta que considera que no  tiene la competencia y/o alcance para dar respuesta de las acciones porque ya entrego  todo lo que ella puede desarrollar</v>
      </c>
      <c r="F80" s="0" t="str">
        <f aca="false">IFERROR(__xludf.dummyfunction("""COMPUTED_VALUE"""),"Atrasado")</f>
        <v>Atrasado</v>
      </c>
    </row>
    <row r="81" customFormat="false" ht="14.25" hidden="false" customHeight="false" outlineLevel="0" collapsed="false">
      <c r="A81" s="18" t="str">
        <f aca="false">IFERROR(MID(D81,1,FIND("|",D81)-1)&amp;"-"&amp;C81,"")</f>
        <v>SIPI202108-1-1-5</v>
      </c>
      <c r="B81" s="19" t="n">
        <f aca="false">IFERROR(__xludf.dummyfunction("""COMPUTED_VALUE"""),44841)</f>
        <v>44841</v>
      </c>
      <c r="C81" s="0" t="n">
        <f aca="false">IFERROR(__xludf.dummyfunction("""COMPUTED_VALUE"""),5)</f>
        <v>5</v>
      </c>
      <c r="D81" s="0" t="str">
        <f aca="false">IFERROR(__xludf.dummyfunction("""COMPUTED_VALUE"""),"SIPI202108-1-1| Implementación y puesta en marcha del Software (02/01/2021 - 01/02/2021)")</f>
        <v>SIPI202108-1-1| Implementación y puesta en marcha del Software (02/01/2021 - 01/02/2021)</v>
      </c>
      <c r="E81" s="0" t="str">
        <f aca="false">IFERROR(__xludf.dummyfunction("""COMPUTED_VALUE"""),"Se considera que la acción se cumplió, teniendo en cuenta que se propuso la Implementación y puesta en marcha del Software.  Se implemento el Sistema Sinergy, el cual, a través de mesas de trabajo con el proveedor del sistema, logró mejoras en la liquidac"&amp;"ión de la nómina. A partir del mes de agosto/2022 se implementó la nueva versión 220901.00 en ambiente de pruebas (mediante paralelos) con las actualizaciones requeridas para los funcionarios con dobles códigos, seguridad social, vacaciones, novedades, ac"&amp;"reedores, autoliquidación y retiro de funcionarios con la nómina de septiembre/2022. Se acuerda para la primera quincena del mes de octubre/2022 liquidar la nómina de trabajadores oficiales, la salida en vivo de la nueva versión con las recientes funciona"&amp;"lidades.
A partir del mes de octubre de 2022, por decisión gerencial se inicia la implementación de un nuevo sistema de información para todas las áreas de la subred.")</f>
        <v>Se considera que la acción se cumplió, teniendo en cuenta que se propuso la Implementación y puesta en marcha del Software.  Se implemento el Sistema Sinergy, el cual, a través de mesas de trabajo con el proveedor del sistema, logró mejoras en la liquidación de la nómina. A partir del mes de agosto/2022 se implementó la nueva versión 220901.00 en ambiente de pruebas (mediante paralelos) con las actualizaciones requeridas para los funcionarios con dobles códigos, seguridad social, vacaciones, novedades, acreedores, autoliquidación y retiro de funcionarios con la nómina de septiembre/2022. Se acuerda para la primera quincena del mes de octubre/2022 liquidar la nómina de trabajadores oficiales, la salida en vivo de la nueva versión con las recientes funcionalidades.
A partir del mes de octubre de 2022, por decisión gerencial se inicia la implementación de un nuevo sistema de información para todas las áreas de la subred.</v>
      </c>
      <c r="F81" s="0" t="str">
        <f aca="false">IFERROR(__xludf.dummyfunction("""COMPUTED_VALUE"""),"Completo")</f>
        <v>Completo</v>
      </c>
      <c r="G81" s="0" t="str">
        <f aca="false">IFERROR(__xludf.dummyfunction("""COMPUTED_VALUE"""),"No")</f>
        <v>No</v>
      </c>
    </row>
    <row r="82" customFormat="false" ht="14.25" hidden="false" customHeight="false" outlineLevel="0" collapsed="false">
      <c r="A82" s="18" t="str">
        <f aca="false">IFERROR(MID(D82,1,FIND("|",D82)-1)&amp;"-"&amp;C82,"")</f>
        <v>SIPI202108-7-1-5</v>
      </c>
      <c r="B82" s="19" t="n">
        <f aca="false">IFERROR(__xludf.dummyfunction("""COMPUTED_VALUE"""),44841)</f>
        <v>44841</v>
      </c>
      <c r="C82" s="0" t="n">
        <f aca="false">IFERROR(__xludf.dummyfunction("""COMPUTED_VALUE"""),5)</f>
        <v>5</v>
      </c>
      <c r="D82" s="0" t="str">
        <f aca="false">IFERROR(__xludf.dummyfunction("""COMPUTED_VALUE"""),"SIPI202108-7-1| Realizar sesiones de trabajo con la Dirección Financiera (Proceso de contabilidad) ,,, (02/01/2021 - 30/06/2021)")</f>
        <v>SIPI202108-7-1| Realizar sesiones de trabajo con la Dirección Financiera (Proceso de contabilidad) ,,, (02/01/2021 - 30/06/2021)</v>
      </c>
      <c r="E82" s="0" t="str">
        <f aca="false">IFERROR(__xludf.dummyfunction("""COMPUTED_VALUE"""),"Se realizaron mesas de trabajo con el área financiera y el acompañamiento del consultor de Sinergy, logrando mejoras en el proceso de provisiones. 
El proceso de nómina remitió al área contable el maestro de conceptos el cual fue aprobado en mesas de trab"&amp;"ajo como consta en las actas.
A partir del mes de octubre de 2022, por decisión gerencial se inicia la implementación de un nuevo sistema de información para todas las áreas de la subred.")</f>
        <v>Se realizaron mesas de trabajo con el área financiera y el acompañamiento del consultor de Sinergy, logrando mejoras en el proceso de provisiones. 
El proceso de nómina remitió al área contable el maestro de conceptos el cual fue aprobado en mesas de trabajo como consta en las actas.
A partir del mes de octubre de 2022, por decisión gerencial se inicia la implementación de un nuevo sistema de información para todas las áreas de la subred.</v>
      </c>
      <c r="F82" s="0" t="str">
        <f aca="false">IFERROR(__xludf.dummyfunction("""COMPUTED_VALUE"""),"Completo")</f>
        <v>Completo</v>
      </c>
      <c r="G82" s="0" t="str">
        <f aca="false">IFERROR(__xludf.dummyfunction("""COMPUTED_VALUE"""),"Sí")</f>
        <v>Sí</v>
      </c>
    </row>
    <row r="83" customFormat="false" ht="14.25" hidden="false" customHeight="false" outlineLevel="0" collapsed="false">
      <c r="A83" s="18" t="str">
        <f aca="false">IFERROR(MID(D83,1,FIND("|",D83)-1)&amp;"-"&amp;C83,"")</f>
        <v>SIPI202108-25-3-5</v>
      </c>
      <c r="B83" s="19" t="n">
        <f aca="false">IFERROR(__xludf.dummyfunction("""COMPUTED_VALUE"""),44841)</f>
        <v>44841</v>
      </c>
      <c r="C83" s="0" t="n">
        <f aca="false">IFERROR(__xludf.dummyfunction("""COMPUTED_VALUE"""),5)</f>
        <v>5</v>
      </c>
      <c r="D83" s="0" t="str">
        <f aca="false">IFERROR(__xludf.dummyfunction("""COMPUTED_VALUE"""),"SIPI202108-25-3| Realizar por lo menos 3 modelos o estrategias para la compensación de dicho beneficio teniendo en cuenta … (01/02/2021 - 01/08/2021)")</f>
        <v>SIPI202108-25-3| Realizar por lo menos 3 modelos o estrategias para la compensación de dicho beneficio teniendo en cuenta … (01/02/2021 - 01/08/2021)</v>
      </c>
      <c r="E83" s="0" t="str">
        <f aca="false">IFERROR(__xludf.dummyfunction("""COMPUTED_VALUE"""),"La Subred Norte, tiene implementadas la Resolución No. 469 de 2017, y la Circular 08 de 2018, las cuales acorde al Decreto 1042 de 1978, se establecen las condiciones para dar estricto cumplimiento para la compensación del tiempo laborado.
Las estrategias"&amp;" van encaminadas al cumplimiento de la normatividad vigente.
Sin embargo la acción propuesta de realizar por lo menos 3 modelos o estrategias para la compensación del tiempo laborado, no se ha realizado.")</f>
        <v>La Subred Norte, tiene implementadas la Resolución No. 469 de 2017, y la Circular 08 de 2018, las cuales acorde al Decreto 1042 de 1978, se establecen las condiciones para dar estricto cumplimiento para la compensación del tiempo laborado.
Las estrategias van encaminadas al cumplimiento de la normatividad vigente.
Sin embargo la acción propuesta de realizar por lo menos 3 modelos o estrategias para la compensación del tiempo laborado, no se ha realizado.</v>
      </c>
      <c r="F83" s="0" t="str">
        <f aca="false">IFERROR(__xludf.dummyfunction("""COMPUTED_VALUE"""),"Atrasado")</f>
        <v>Atrasado</v>
      </c>
    </row>
    <row r="84" customFormat="false" ht="14.25" hidden="false" customHeight="false" outlineLevel="0" collapsed="false">
      <c r="A84" s="18" t="str">
        <f aca="false">IFERROR(MID(D84,1,FIND("|",D84)-1)&amp;"-"&amp;C84,"")</f>
        <v>SIPI202108-25-4-5</v>
      </c>
      <c r="B84" s="19" t="n">
        <f aca="false">IFERROR(__xludf.dummyfunction("""COMPUTED_VALUE"""),44841)</f>
        <v>44841</v>
      </c>
      <c r="C84" s="0" t="n">
        <f aca="false">IFERROR(__xludf.dummyfunction("""COMPUTED_VALUE"""),5)</f>
        <v>5</v>
      </c>
      <c r="D84" s="0" t="str">
        <f aca="false">IFERROR(__xludf.dummyfunction("""COMPUTED_VALUE"""),"SIPI202108-25-4| Presentar a la Gerencia y Subgerencia Corporativa estrategias para pago de compensatorios … (01/02/2021 - 01/08/2021)")</f>
        <v>SIPI202108-25-4| Presentar a la Gerencia y Subgerencia Corporativa estrategias para pago de compensatorios … (01/02/2021 - 01/08/2021)</v>
      </c>
      <c r="E84" s="0" t="str">
        <f aca="false">IFERROR(__xludf.dummyfunction("""COMPUTED_VALUE"""),"La programación de turnos y compensatorios es informada a talento humano por cada uno de los líderes de los servicios de acuerdo a la Circular 08, la cual es realizada de acuerdo a las necesidades del servicio y acorde a la normatividad legal vigente.
La"&amp;" Subred Norte, tiene implementadas la Resolución No. 469 de 2017, y la Circular 08 de 2018, las cuales acorde al Decreto 1042 de 1978, se establecen las condiciones para dar estricto cumplimiento para la compensación del tiempo laborado.
Las estrategias e"&amp;"ncaminadas al cumplimiento de la normatividad vigente, para el pago de compensatorios no han sido presentadas a la Gerencia y Subgerencia Corporativa.")</f>
        <v>La programación de turnos y compensatorios es informada a talento humano por cada uno de los líderes de los servicios de acuerdo a la Circular 08, la cual es realizada de acuerdo a las necesidades del servicio y acorde a la normatividad legal vigente.
La Subred Norte, tiene implementadas la Resolución No. 469 de 2017, y la Circular 08 de 2018, las cuales acorde al Decreto 1042 de 1978, se establecen las condiciones para dar estricto cumplimiento para la compensación del tiempo laborado.
Las estrategias encaminadas al cumplimiento de la normatividad vigente, para el pago de compensatorios no han sido presentadas a la Gerencia y Subgerencia Corporativa.</v>
      </c>
      <c r="F84" s="0" t="str">
        <f aca="false">IFERROR(__xludf.dummyfunction("""COMPUTED_VALUE"""),"Atrasado")</f>
        <v>Atrasado</v>
      </c>
    </row>
    <row r="85" customFormat="false" ht="14.25" hidden="false" customHeight="false" outlineLevel="0" collapsed="false">
      <c r="A85" s="18" t="str">
        <f aca="false">IFERROR(MID(D85,1,FIND("|",D85)-1)&amp;"-"&amp;C85,"")</f>
        <v>SIPI202108-26-1-5</v>
      </c>
      <c r="B85" s="19" t="n">
        <f aca="false">IFERROR(__xludf.dummyfunction("""COMPUTED_VALUE"""),44841)</f>
        <v>44841</v>
      </c>
      <c r="C85" s="0" t="n">
        <f aca="false">IFERROR(__xludf.dummyfunction("""COMPUTED_VALUE"""),5)</f>
        <v>5</v>
      </c>
      <c r="D85" s="0" t="str">
        <f aca="false">IFERROR(__xludf.dummyfunction("""COMPUTED_VALUE"""),"SIPI202108-26-1| Capacitación a los colaboradores con personal a cargo con relación a la programación de turnos … (01/07/2021 - 01/09/2021)")</f>
        <v>SIPI202108-26-1| Capacitación a los colaboradores con personal a cargo con relación a la programación de turnos … (01/07/2021 - 01/09/2021)</v>
      </c>
      <c r="E85" s="0" t="str">
        <f aca="false">IFERROR(__xludf.dummyfunction("""COMPUTED_VALUE"""),"Se realizó capacitación a los lideres de los servicios en agosto de 2022, en la que se reiteró la adecuada programación de los turnos festivos, turnos  nocturnos y compensatorios. progrmación que debe ser ajustada  a la normatividad vigente, acordes a las"&amp;" necesidades de los servicios y  manteniemndo la estrategia de austeridad del gasto.
Adicionalmente se realizan mesas de trabajo conjuntas con las demás subredes  lideradas por la SDS en las que se busca unificar la programación del sistema de turnos. ")</f>
        <v>Se realizó capacitación a los lideres de los servicios en agosto de 2022, en la que se reiteró la adecuada programación de los turnos festivos, turnos  nocturnos y compensatorios. progrmación que debe ser ajustada  a la normatividad vigente, acordes a las necesidades de los servicios y  manteniemndo la estrategia de austeridad del gasto.
Adicionalmente se realizan mesas de trabajo conjuntas con las demás subredes  lideradas por la SDS en las que se busca unificar la programación del sistema de turnos. </v>
      </c>
      <c r="F85" s="0" t="str">
        <f aca="false">IFERROR(__xludf.dummyfunction("""COMPUTED_VALUE"""),"Completo")</f>
        <v>Completo</v>
      </c>
      <c r="G85" s="0" t="str">
        <f aca="false">IFERROR(__xludf.dummyfunction("""COMPUTED_VALUE"""),"No")</f>
        <v>No</v>
      </c>
    </row>
    <row r="86" customFormat="false" ht="14.25" hidden="false" customHeight="false" outlineLevel="0" collapsed="false">
      <c r="A86" s="18" t="str">
        <f aca="false">IFERROR(MID(D86,1,FIND("|",D86)-1)&amp;"-"&amp;C86,"")</f>
        <v>SIPI202108-29-1-5</v>
      </c>
      <c r="B86" s="19" t="n">
        <f aca="false">IFERROR(__xludf.dummyfunction("""COMPUTED_VALUE"""),44841)</f>
        <v>44841</v>
      </c>
      <c r="C86" s="0" t="n">
        <f aca="false">IFERROR(__xludf.dummyfunction("""COMPUTED_VALUE"""),5)</f>
        <v>5</v>
      </c>
      <c r="D86" s="0" t="str">
        <f aca="false">IFERROR(__xludf.dummyfunction("""COMPUTED_VALUE"""),"SIPI202108-29-1| Solicitar el informe del estatus actual del proceso de depuración de SGP vigencia 2020. (21/01/2021 - 21/01/2021)")</f>
        <v>SIPI202108-29-1| Solicitar el informe del estatus actual del proceso de depuración de SGP vigencia 2020. (21/01/2021 - 21/01/2021)</v>
      </c>
      <c r="E86" s="0" t="str">
        <f aca="false">IFERROR(__xludf.dummyfunction("""COMPUTED_VALUE"""),"Se informa que se viene realizando depuración conjunta con Colpensiones, constantemente se realizan mesas de trabajo dos veces por mes, esto con el fin de darle cumplimiento a lo establecido en el Decreto 1636 de 2006 y la Resolución 1545 de 2019 y sus mo"&amp;"dificaciones expedidas por el Ministerio de Salud y Protección Social., “Por medio de la cual se determina el procedimiento para el saneamiento de aportes patronales correspondientes a la vigencia 2012-2016”.  
Se dio cumplimiento a lo establecido en el c"&amp;"ronograma de la Resolución 1545 dentro de los términos para este proceso el cual venció el 31 de junio de 2022. 
Se anexan actas.
Una vez se termine estas vigencias se continuará con la depuración de las vigencias 1995-2011  de acuerdo al cronograma que e"&amp;"stablezca Colpensiones.
Se aportó informe de Gestión del S.G.P. A septiembre de 2022.")</f>
        <v>Se informa que se viene realizando depuración conjunta con Colpensiones, constantemente se realizan mesas de trabajo dos veces por mes, esto con el fin de darle cumplimiento a lo establecido en el Decreto 1636 de 2006 y la Resolución 1545 de 2019 y sus modificaciones expedidas por el Ministerio de Salud y Protección Social., “Por medio de la cual se determina el procedimiento para el saneamiento de aportes patronales correspondientes a la vigencia 2012-2016”.  
Se dio cumplimiento a lo establecido en el cronograma de la Resolución 1545 dentro de los términos para este proceso el cual venció el 31 de junio de 2022. 
Se anexan actas.
Una vez se termine estas vigencias se continuará con la depuración de las vigencias 1995-2011  de acuerdo al cronograma que establezca Colpensiones.
Se aportó informe de Gestión del S.G.P. A septiembre de 2022.</v>
      </c>
      <c r="F86" s="0" t="str">
        <f aca="false">IFERROR(__xludf.dummyfunction("""COMPUTED_VALUE"""),"Completo")</f>
        <v>Completo</v>
      </c>
      <c r="G86" s="0" t="str">
        <f aca="false">IFERROR(__xludf.dummyfunction("""COMPUTED_VALUE"""),"Sí")</f>
        <v>Sí</v>
      </c>
    </row>
    <row r="87" customFormat="false" ht="14.25" hidden="false" customHeight="false" outlineLevel="0" collapsed="false">
      <c r="A87" s="18" t="str">
        <f aca="false">IFERROR(MID(D87,1,FIND("|",D87)-1)&amp;"-"&amp;C87,"")</f>
        <v>SIPI202108-30-1-5</v>
      </c>
      <c r="B87" s="19" t="n">
        <f aca="false">IFERROR(__xludf.dummyfunction("""COMPUTED_VALUE"""),44841)</f>
        <v>44841</v>
      </c>
      <c r="C87" s="0" t="n">
        <f aca="false">IFERROR(__xludf.dummyfunction("""COMPUTED_VALUE"""),5)</f>
        <v>5</v>
      </c>
      <c r="D87" s="0" t="str">
        <f aca="false">IFERROR(__xludf.dummyfunction("""COMPUTED_VALUE"""),"SIPI202108-30-1| Establecer una herramienta de seguimiento, avance y control mensual de la depuración de SGP de la entidad … (01/07/2021 - 01/08/2021)")</f>
        <v>SIPI202108-30-1| Establecer una herramienta de seguimiento, avance y control mensual de la depuración de SGP de la entidad … (01/07/2021 - 01/08/2021)</v>
      </c>
      <c r="E87" s="0" t="str">
        <f aca="false">IFERROR(__xludf.dummyfunction("""COMPUTED_VALUE"""),"De acuerdo a los informes presentados, la única entidad que está pendiente por depurar es Colpensiones.  Con esta entidad se vienen realizando cruces de manera permanente y se realizan mesas de trabajo por lo menos dos veces al mes para determinar accione"&amp;"s conjuntas con el propósito de dar cumplimiento a lo establecido en el Decreto 1636 de 2006 y la Resolución 1545 de 2019 y sus modificaciones expedidas por el Ministerio de Salud y Protección Social., “Por medio de la cual se determina el procedimiento p"&amp;"ara el saneamiento de aportes patronales correspondientes a la vigencia 2012-2016”.  El plazo para este proceso se venció el 30 de junio de 2022 al cual la Subred Norte ESE dio estricto cumplimiento. 
Una vez se termine estas vigencias se continuará con l"&amp;"a depuración de 1995-2011 de acuerdo al cronograma que establezca Colpensiones.")</f>
        <v>De acuerdo a los informes presentados, la única entidad que está pendiente por depurar es Colpensiones.  Con esta entidad se vienen realizando cruces de manera permanente y se realizan mesas de trabajo por lo menos dos veces al mes para determinar acciones conjuntas con el propósito de dar cumplimiento a lo establecido en el Decreto 1636 de 2006 y la Resolución 1545 de 2019 y sus modificaciones expedidas por el Ministerio de Salud y Protección Social., “Por medio de la cual se determina el procedimiento para el saneamiento de aportes patronales correspondientes a la vigencia 2012-2016”.  El plazo para este proceso se venció el 30 de junio de 2022 al cual la Subred Norte ESE dio estricto cumplimiento. 
Una vez se termine estas vigencias se continuará con la depuración de 1995-2011 de acuerdo al cronograma que establezca Colpensiones.</v>
      </c>
      <c r="F87" s="0" t="str">
        <f aca="false">IFERROR(__xludf.dummyfunction("""COMPUTED_VALUE"""),"Completo")</f>
        <v>Completo</v>
      </c>
      <c r="G87" s="0" t="str">
        <f aca="false">IFERROR(__xludf.dummyfunction("""COMPUTED_VALUE"""),"Sí")</f>
        <v>Sí</v>
      </c>
    </row>
    <row r="88" customFormat="false" ht="14.25" hidden="false" customHeight="false" outlineLevel="0" collapsed="false">
      <c r="A88" s="18" t="str">
        <f aca="false">IFERROR(MID(D88,1,FIND("|",D88)-1)&amp;"-"&amp;C88,"")</f>
        <v>SIPI202108-32-1-5</v>
      </c>
      <c r="B88" s="19" t="n">
        <f aca="false">IFERROR(__xludf.dummyfunction("""COMPUTED_VALUE"""),44841)</f>
        <v>44841</v>
      </c>
      <c r="C88" s="0" t="n">
        <f aca="false">IFERROR(__xludf.dummyfunction("""COMPUTED_VALUE"""),5)</f>
        <v>5</v>
      </c>
      <c r="D88" s="0" t="str">
        <f aca="false">IFERROR(__xludf.dummyfunction("""COMPUTED_VALUE"""),"SIPI202108-32-1| Diseñar, validar, aprobar e implementar indicadores que den respuesta de la gestión de trámites relacionados con la liquidación de nómina (01/06/2021 - 31/12/2021)")</f>
        <v>SIPI202108-32-1| Diseñar, validar, aprobar e implementar indicadores que den respuesta de la gestión de trámites relacionados con la liquidación de nómina (01/06/2021 - 31/12/2021)</v>
      </c>
      <c r="E88" s="0" t="str">
        <f aca="false">IFERROR(__xludf.dummyfunction("""COMPUTED_VALUE"""),"Se analizará la pertinencia y utilidad de la creación de indicadores para el proceso de liquidación de nómina. 
Con relación al S.G.P., se tiene en cuenta que con  la entrada en vigencia la  Ley 1797 de 2016  se termina los recursos destinados para SGP, p"&amp;"or tanto no se realizan conciliaciones con ninguna administradora y los rubros por estos conceptos deben ser cubiertos con recursos propios.")</f>
        <v>Se analizará la pertinencia y utilidad de la creación de indicadores para el proceso de liquidación de nómina. 
Con relación al S.G.P., se tiene en cuenta que con  la entrada en vigencia la  Ley 1797 de 2016  se termina los recursos destinados para SGP, por tanto no se realizan conciliaciones con ninguna administradora y los rubros por estos conceptos deben ser cubiertos con recursos propios.</v>
      </c>
      <c r="F88" s="0" t="str">
        <f aca="false">IFERROR(__xludf.dummyfunction("""COMPUTED_VALUE"""),"Atrasado")</f>
        <v>Atrasado</v>
      </c>
    </row>
    <row r="89" customFormat="false" ht="14.25" hidden="false" customHeight="false" outlineLevel="0" collapsed="false">
      <c r="A89" s="18" t="str">
        <f aca="false">IFERROR(MID(D89,1,FIND("|",D89)-1)&amp;"-"&amp;C89,"")</f>
        <v>SIPI202108-25-3-6</v>
      </c>
      <c r="B89" s="19" t="n">
        <f aca="false">IFERROR(__xludf.dummyfunction("""COMPUTED_VALUE"""),44929)</f>
        <v>44929</v>
      </c>
      <c r="C89" s="0" t="n">
        <f aca="false">IFERROR(__xludf.dummyfunction("""COMPUTED_VALUE"""),6)</f>
        <v>6</v>
      </c>
      <c r="D89" s="0" t="str">
        <f aca="false">IFERROR(__xludf.dummyfunction("""COMPUTED_VALUE"""),"SIPI202108-25-3| Realizar por lo menos 3 modelos o estrategias para la compensación de dicho beneficio teniendo en cuenta … (01/02/2021 - 01/08/2021)")</f>
        <v>SIPI202108-25-3| Realizar por lo menos 3 modelos o estrategias para la compensación de dicho beneficio teniendo en cuenta … (01/02/2021 - 01/08/2021)</v>
      </c>
      <c r="E89" s="0" t="str">
        <f aca="false">IFERROR(__xludf.dummyfunction("""COMPUTED_VALUE"""),"No se presenta los modelos o estrategias para la compensación ")</f>
        <v>No se presenta los modelos o estrategias para la compensación </v>
      </c>
      <c r="F89" s="0" t="str">
        <f aca="false">IFERROR(__xludf.dummyfunction("""COMPUTED_VALUE"""),"Atrasado")</f>
        <v>Atrasado</v>
      </c>
    </row>
    <row r="90" customFormat="false" ht="14.25" hidden="false" customHeight="false" outlineLevel="0" collapsed="false">
      <c r="A90" s="18" t="str">
        <f aca="false">IFERROR(MID(D90,1,FIND("|",D90)-1)&amp;"-"&amp;C90,"")</f>
        <v>SIPI202108-25-4-6</v>
      </c>
      <c r="B90" s="19" t="n">
        <f aca="false">IFERROR(__xludf.dummyfunction("""COMPUTED_VALUE"""),44929)</f>
        <v>44929</v>
      </c>
      <c r="C90" s="0" t="n">
        <f aca="false">IFERROR(__xludf.dummyfunction("""COMPUTED_VALUE"""),6)</f>
        <v>6</v>
      </c>
      <c r="D90" s="0" t="str">
        <f aca="false">IFERROR(__xludf.dummyfunction("""COMPUTED_VALUE"""),"SIPI202108-25-4| Presentar a la Gerencia y Subgerencia Corporativa estrategias para pago de compensatorios … (01/02/2021 - 01/08/2021)")</f>
        <v>SIPI202108-25-4| Presentar a la Gerencia y Subgerencia Corporativa estrategias para pago de compensatorios … (01/02/2021 - 01/08/2021)</v>
      </c>
      <c r="E90" s="0" t="str">
        <f aca="false">IFERROR(__xludf.dummyfunction("""COMPUTED_VALUE"""),"A la fecha no han presentado la estrategia para el pago de los compensatorios ")</f>
        <v>A la fecha no han presentado la estrategia para el pago de los compensatorios </v>
      </c>
      <c r="F90" s="0" t="str">
        <f aca="false">IFERROR(__xludf.dummyfunction("""COMPUTED_VALUE"""),"Atrasado")</f>
        <v>Atrasado</v>
      </c>
    </row>
    <row r="91" customFormat="false" ht="14.25" hidden="false" customHeight="false" outlineLevel="0" collapsed="false">
      <c r="A91" s="18" t="str">
        <f aca="false">IFERROR(MID(D91,1,FIND("|",D91)-1)&amp;"-"&amp;C91,"")</f>
        <v>SIPI202108-32-1-6</v>
      </c>
      <c r="B91" s="19" t="n">
        <f aca="false">IFERROR(__xludf.dummyfunction("""COMPUTED_VALUE"""),44929)</f>
        <v>44929</v>
      </c>
      <c r="C91" s="0" t="n">
        <f aca="false">IFERROR(__xludf.dummyfunction("""COMPUTED_VALUE"""),6)</f>
        <v>6</v>
      </c>
      <c r="D91" s="0" t="str">
        <f aca="false">IFERROR(__xludf.dummyfunction("""COMPUTED_VALUE"""),"SIPI202108-32-1| Diseñar, validar, aprobar e implementar indicadores que den respuesta de la gestión de trámites relacionados con la liquidación de nómina (01/06/2021 - 31/12/2021)")</f>
        <v>SIPI202108-32-1| Diseñar, validar, aprobar e implementar indicadores que den respuesta de la gestión de trámites relacionados con la liquidación de nómina (01/06/2021 - 31/12/2021)</v>
      </c>
      <c r="E91" s="0" t="str">
        <f aca="false">IFERROR(__xludf.dummyfunction("""COMPUTED_VALUE"""),"Talento Humano envió soportes de los indicadores de pago de nómina, horas extras, vacaciones y ausentismo, faltan los indicadores de incapacidades y SGP que aparecen en las oportunidades de mejora")</f>
        <v>Talento Humano envió soportes de los indicadores de pago de nómina, horas extras, vacaciones y ausentismo, faltan los indicadores de incapacidades y SGP que aparecen en las oportunidades de mejora</v>
      </c>
      <c r="F91" s="0" t="str">
        <f aca="false">IFERROR(__xludf.dummyfunction("""COMPUTED_VALUE"""),"Atrasado")</f>
        <v>Atrasado</v>
      </c>
    </row>
    <row r="92" customFormat="false" ht="14.25" hidden="false" customHeight="false" outlineLevel="0" collapsed="false">
      <c r="A92" s="18" t="str">
        <f aca="false">IFERROR(MID(D92,1,FIND("|",D92)-1)&amp;"-"&amp;C92,"")</f>
        <v>SIPI202108-25-3-7</v>
      </c>
      <c r="B92" s="19" t="n">
        <f aca="false">IFERROR(__xludf.dummyfunction("""COMPUTED_VALUE"""),45033)</f>
        <v>45033</v>
      </c>
      <c r="C92" s="0" t="n">
        <f aca="false">IFERROR(__xludf.dummyfunction("""COMPUTED_VALUE"""),7)</f>
        <v>7</v>
      </c>
      <c r="D92" s="0" t="str">
        <f aca="false">IFERROR(__xludf.dummyfunction("""COMPUTED_VALUE"""),"SIPI202108-25-3| Realizar por lo menos 3 modelos o estrategias para la compensación de dicho beneficio teniendo en cuenta … (01/02/2021 - 01/08/2021)")</f>
        <v>SIPI202108-25-3| Realizar por lo menos 3 modelos o estrategias para la compensación de dicho beneficio teniendo en cuenta … (01/02/2021 - 01/08/2021)</v>
      </c>
      <c r="E92" s="0" t="str">
        <f aca="false">IFERROR(__xludf.dummyfunction("""COMPUTED_VALUE"""),"Se le da cumplimiento a la Circular 08 de 2018 referente al Cumplimiento Jornada Laboral - Programación de Compensatorios - Extras y Recargos.")</f>
        <v>Se le da cumplimiento a la Circular 08 de 2018 referente al Cumplimiento Jornada Laboral - Programación de Compensatorios - Extras y Recargos.</v>
      </c>
      <c r="F92" s="0" t="str">
        <f aca="false">IFERROR(__xludf.dummyfunction("""COMPUTED_VALUE"""),"Atrasado")</f>
        <v>Atrasado</v>
      </c>
    </row>
    <row r="93" customFormat="false" ht="14.25" hidden="false" customHeight="false" outlineLevel="0" collapsed="false">
      <c r="A93" s="18" t="str">
        <f aca="false">IFERROR(MID(D93,1,FIND("|",D93)-1)&amp;"-"&amp;C93,"")</f>
        <v>SIPI202108-25-4-7</v>
      </c>
      <c r="B93" s="19" t="n">
        <f aca="false">IFERROR(__xludf.dummyfunction("""COMPUTED_VALUE"""),45033)</f>
        <v>45033</v>
      </c>
      <c r="C93" s="0" t="n">
        <f aca="false">IFERROR(__xludf.dummyfunction("""COMPUTED_VALUE"""),7)</f>
        <v>7</v>
      </c>
      <c r="D93" s="0" t="str">
        <f aca="false">IFERROR(__xludf.dummyfunction("""COMPUTED_VALUE"""),"SIPI202108-25-4| Presentar a la Gerencia y Subgerencia Corporativa estrategias para pago de compensatorios … (01/02/2021 - 01/08/2021)")</f>
        <v>SIPI202108-25-4| Presentar a la Gerencia y Subgerencia Corporativa estrategias para pago de compensatorios … (01/02/2021 - 01/08/2021)</v>
      </c>
      <c r="E93" s="0" t="str">
        <f aca="false">IFERROR(__xludf.dummyfunction("""COMPUTED_VALUE"""),"Se socializo a los lideres la Circular 08 de 2018 referente al Cumplimiento de la Jornada Laboral - Programación de Compensatorios - Extras y Recargos ")</f>
        <v>Se socializo a los lideres la Circular 08 de 2018 referente al Cumplimiento de la Jornada Laboral - Programación de Compensatorios - Extras y Recargos </v>
      </c>
      <c r="F93" s="0" t="str">
        <f aca="false">IFERROR(__xludf.dummyfunction("""COMPUTED_VALUE"""),"Atrasado")</f>
        <v>Atrasado</v>
      </c>
    </row>
    <row r="94" customFormat="false" ht="14.25" hidden="false" customHeight="false" outlineLevel="0" collapsed="false">
      <c r="A94" s="18" t="str">
        <f aca="false">IFERROR(MID(D94,1,FIND("|",D94)-1)&amp;"-"&amp;C94,"")</f>
        <v>SIPI202108-32-1-7</v>
      </c>
      <c r="B94" s="19" t="n">
        <f aca="false">IFERROR(__xludf.dummyfunction("""COMPUTED_VALUE"""),45033)</f>
        <v>45033</v>
      </c>
      <c r="C94" s="0" t="n">
        <f aca="false">IFERROR(__xludf.dummyfunction("""COMPUTED_VALUE"""),7)</f>
        <v>7</v>
      </c>
      <c r="D94" s="0" t="str">
        <f aca="false">IFERROR(__xludf.dummyfunction("""COMPUTED_VALUE"""),"SIPI202108-32-1| Diseñar, validar, aprobar e implementar indicadores que den respuesta de la gestión de trámites relacionados con la liquidación de nómina (01/06/2021 - 31/12/2021)")</f>
        <v>SIPI202108-32-1| Diseñar, validar, aprobar e implementar indicadores que den respuesta de la gestión de trámites relacionados con la liquidación de nómina (01/06/2021 - 31/12/2021)</v>
      </c>
      <c r="E94" s="0" t="str">
        <f aca="false">IFERROR(__xludf.dummyfunction("""COMPUTED_VALUE"""),"El área de talento humano no dio respuesta a esta acción")</f>
        <v>El área de talento humano no dio respuesta a esta acción</v>
      </c>
      <c r="F94" s="0" t="str">
        <f aca="false">IFERROR(__xludf.dummyfunction("""COMPUTED_VALUE"""),"Atrasado")</f>
        <v>Atrasado</v>
      </c>
    </row>
    <row r="95" customFormat="false" ht="14.25" hidden="false" customHeight="false" outlineLevel="0" collapsed="false">
      <c r="A95" s="18" t="str">
        <f aca="false">IFERROR(MID(D95,1,FIND("|",D95)-1)&amp;"-"&amp;C95,"")</f>
        <v>SIPI202108-25-3-8</v>
      </c>
      <c r="B95" s="19" t="n">
        <f aca="false">IFERROR(__xludf.dummyfunction("""COMPUTED_VALUE"""),45120)</f>
        <v>45120</v>
      </c>
      <c r="C95" s="0" t="n">
        <f aca="false">IFERROR(__xludf.dummyfunction("""COMPUTED_VALUE"""),8)</f>
        <v>8</v>
      </c>
      <c r="D95" s="0" t="str">
        <f aca="false">IFERROR(__xludf.dummyfunction("""COMPUTED_VALUE"""),"SIPI202108-25-3| Realizar por lo menos 3 modelos o estrategias para la compensación de dicho beneficio teniendo en cuenta … (01/02/2021 - 01/08/2021)")</f>
        <v>SIPI202108-25-3| Realizar por lo menos 3 modelos o estrategias para la compensación de dicho beneficio teniendo en cuenta … (01/02/2021 - 01/08/2021)</v>
      </c>
      <c r="E95" s="0" t="str">
        <f aca="false">IFERROR(__xludf.dummyfunction("""COMPUTED_VALUE"""),"La Subred da cumplimiento a la norma - Circular 08 de 2018 donde se establece el procedimiento de reconocimiento y disfrute de compensatorios. Se proyectó Circular 014 de 2023 para firma del Gerente en la cual se establece el plan de choque a 31 de diciem"&amp;"bre de 2023. 
Se dio respuesta a la SDS con relación a la aplicación del concepto concejo de estado a  Dr. Bolívar, así mismo la SDS realizo Reunión con los gerentes donde se establecieron algunos lineamientos para el manejo de los compensatorios en las "&amp;"4 subredes.
")</f>
        <v>La Subred da cumplimiento a la norma - Circular 08 de 2018 donde se establece el procedimiento de reconocimiento y disfrute de compensatorios. Se proyectó Circular 014 de 2023 para firma del Gerente en la cual se establece el plan de choque a 31 de diciembre de 2023. 
Se dio respuesta a la SDS con relación a la aplicación del concepto concejo de estado a  Dr. Bolívar, así mismo la SDS realizo Reunión con los gerentes donde se establecieron algunos lineamientos para el manejo de los compensatorios en las 4 subredes.
</v>
      </c>
      <c r="F95" s="0" t="str">
        <f aca="false">IFERROR(__xludf.dummyfunction("""COMPUTED_VALUE"""),"Atrasado")</f>
        <v>Atrasado</v>
      </c>
    </row>
    <row r="96" customFormat="false" ht="14.25" hidden="false" customHeight="false" outlineLevel="0" collapsed="false">
      <c r="A96" s="18" t="str">
        <f aca="false">IFERROR(MID(D96,1,FIND("|",D96)-1)&amp;"-"&amp;C96,"")</f>
        <v>SIPI202108-25-4-8</v>
      </c>
      <c r="B96" s="19" t="n">
        <f aca="false">IFERROR(__xludf.dummyfunction("""COMPUTED_VALUE"""),45120)</f>
        <v>45120</v>
      </c>
      <c r="C96" s="0" t="n">
        <f aca="false">IFERROR(__xludf.dummyfunction("""COMPUTED_VALUE"""),8)</f>
        <v>8</v>
      </c>
      <c r="D96" s="0" t="str">
        <f aca="false">IFERROR(__xludf.dummyfunction("""COMPUTED_VALUE"""),"SIPI202108-25-4| Presentar a la Gerencia y Subgerencia Corporativa estrategias para pago de compensatorios … (01/02/2021 - 01/08/2021)")</f>
        <v>SIPI202108-25-4| Presentar a la Gerencia y Subgerencia Corporativa estrategias para pago de compensatorios … (01/02/2021 - 01/08/2021)</v>
      </c>
      <c r="E96" s="0" t="str">
        <f aca="false">IFERROR(__xludf.dummyfunction("""COMPUTED_VALUE"""),"Se da cumplimiento a lo establecido en la Circular 08 de 2018 con relación al reconocimiento y disfrute de compensatorios. No es procedente presentar otra alternativa, toda vez que no se contempla presupuestalmente rubro para el pago en dinero, ni en la n"&amp;"orma.")</f>
        <v>Se da cumplimiento a lo establecido en la Circular 08 de 2018 con relación al reconocimiento y disfrute de compensatorios. No es procedente presentar otra alternativa, toda vez que no se contempla presupuestalmente rubro para el pago en dinero, ni en la norma.</v>
      </c>
      <c r="F96" s="0" t="str">
        <f aca="false">IFERROR(__xludf.dummyfunction("""COMPUTED_VALUE"""),"Atrasado")</f>
        <v>Atrasado</v>
      </c>
    </row>
    <row r="97" customFormat="false" ht="14.25" hidden="false" customHeight="false" outlineLevel="0" collapsed="false">
      <c r="A97" s="18" t="str">
        <f aca="false">IFERROR(MID(D97,1,FIND("|",D97)-1)&amp;"-"&amp;C97,"")</f>
        <v>SIPI202108-32-1-8</v>
      </c>
      <c r="B97" s="19" t="n">
        <f aca="false">IFERROR(__xludf.dummyfunction("""COMPUTED_VALUE"""),45121)</f>
        <v>45121</v>
      </c>
      <c r="C97" s="0" t="n">
        <f aca="false">IFERROR(__xludf.dummyfunction("""COMPUTED_VALUE"""),8)</f>
        <v>8</v>
      </c>
      <c r="D97" s="0" t="str">
        <f aca="false">IFERROR(__xludf.dummyfunction("""COMPUTED_VALUE"""),"SIPI202108-32-1| Diseñar, validar, aprobar e implementar indicadores que den respuesta de la gestión de trámites relacionados con la liquidación de nómina (01/06/2021 - 31/12/2021)")</f>
        <v>SIPI202108-32-1| Diseñar, validar, aprobar e implementar indicadores que den respuesta de la gestión de trámites relacionados con la liquidación de nómina (01/06/2021 - 31/12/2021)</v>
      </c>
      <c r="E97" s="0" t="str">
        <f aca="false">IFERROR(__xludf.dummyfunction("""COMPUTED_VALUE"""),"Se ajustó del Tablero de Indicadores de la liquidación de nomina e incapacidades de la Dirección de Talento Humano los cuales se encuentran subidos en Almera.  En relación con el Sistema General de Participaciones, no se cuenta con indicador, toda ves que"&amp;" a partir de la vigencia 2017 la entidad cubre con recursos propios el pago de la seguridad social y los parafiscales, lo cual realiza mediante giro directo.")</f>
        <v>Se ajustó del Tablero de Indicadores de la liquidación de nomina e incapacidades de la Dirección de Talento Humano los cuales se encuentran subidos en Almera.  En relación con el Sistema General de Participaciones, no se cuenta con indicador, toda ves que a partir de la vigencia 2017 la entidad cubre con recursos propios el pago de la seguridad social y los parafiscales, lo cual realiza mediante giro directo.</v>
      </c>
      <c r="F97" s="0" t="str">
        <f aca="false">IFERROR(__xludf.dummyfunction("""COMPUTED_VALUE"""),"Completo")</f>
        <v>Completo</v>
      </c>
      <c r="G97" s="0" t="str">
        <f aca="false">IFERROR(__xludf.dummyfunction("""COMPUTED_VALUE"""),"Sí")</f>
        <v>Sí</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1809</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AICI202109-1-1-1</v>
      </c>
      <c r="B4" s="19" t="n">
        <f aca="false">IFERROR(__xludf.dummyfunction("""COMPUTED_VALUE"""),44596)</f>
        <v>44596</v>
      </c>
      <c r="C4" s="0" t="n">
        <f aca="false">IFERROR(__xludf.dummyfunction("""COMPUTED_VALUE"""),1)</f>
        <v>1</v>
      </c>
      <c r="D4" s="0" t="str">
        <f aca="false">IFERROR(__xludf.dummyfunction("""COMPUTED_VALUE"""),"AICI202109-1-1| Actualizar y socializar el formato de datos complementarios (20/10/2021 - 20/10/2021)")</f>
        <v>AICI202109-1-1| Actualizar y socializar el formato de datos complementarios (20/10/2021 - 20/10/2021)</v>
      </c>
      <c r="E4" s="0" t="str">
        <f aca="false">IFERROR(__xludf.dummyfunction("""COMPUTED_VALUE"""),"Se observa formulario de datos complementarios con código MI-RS-F-305-02 en VERSIÓN 2
Se anexan actas de socialización del formato")</f>
        <v>Se observa formulario de datos complementarios con código MI-RS-F-305-02 en VERSIÓN 2
Se anexan actas de socialización del formato</v>
      </c>
      <c r="F4" s="0" t="str">
        <f aca="false">IFERROR(__xludf.dummyfunction("""COMPUTED_VALUE"""),"Completo")</f>
        <v>Completo</v>
      </c>
    </row>
    <row r="5" customFormat="false" ht="14.25" hidden="false" customHeight="false" outlineLevel="0" collapsed="false">
      <c r="A5" s="18" t="str">
        <f aca="false">IFERROR(MID(D5,1,FIND("|",D5)-1)&amp;"-"&amp;C5,"")</f>
        <v>AICI202109-1-2-1</v>
      </c>
      <c r="B5" s="19" t="n">
        <f aca="false">IFERROR(__xludf.dummyfunction("""COMPUTED_VALUE"""),44596)</f>
        <v>44596</v>
      </c>
      <c r="C5" s="0" t="n">
        <f aca="false">IFERROR(__xludf.dummyfunction("""COMPUTED_VALUE"""),1)</f>
        <v>1</v>
      </c>
      <c r="D5" s="0" t="str">
        <f aca="false">IFERROR(__xludf.dummyfunction("""COMPUTED_VALUE"""),"AICI202109-1-2| Revisar, ajustar y socializar el procedimiento de vacunación segun ajustes propuestos (20/10/2021 - 20/10/2021)")</f>
        <v>AICI202109-1-2| Revisar, ajustar y socializar el procedimiento de vacunación segun ajustes propuestos (20/10/2021 - 20/10/2021)</v>
      </c>
      <c r="E5" s="0" t="str">
        <f aca="false">IFERROR(__xludf.dummyfunction("""COMPUTED_VALUE"""),"Se anexan actas de socialización y evidencia de verificación de datos en la plataforma Paiweb en adultos mayores de 65 años")</f>
        <v>Se anexan actas de socialización y evidencia de verificación de datos en la plataforma Paiweb en adultos mayores de 65 años</v>
      </c>
      <c r="F5" s="0" t="str">
        <f aca="false">IFERROR(__xludf.dummyfunction("""COMPUTED_VALUE"""),"Completo")</f>
        <v>Completo</v>
      </c>
    </row>
    <row r="6" customFormat="false" ht="14.25" hidden="false" customHeight="false" outlineLevel="0" collapsed="false">
      <c r="A6" s="18" t="str">
        <f aca="false">IFERROR(MID(D6,1,FIND("|",D6)-1)&amp;"-"&amp;C6,"")</f>
        <v>AICI202109-2-1-1</v>
      </c>
      <c r="B6" s="19" t="n">
        <f aca="false">IFERROR(__xludf.dummyfunction("""COMPUTED_VALUE"""),44596)</f>
        <v>44596</v>
      </c>
      <c r="C6" s="0" t="n">
        <f aca="false">IFERROR(__xludf.dummyfunction("""COMPUTED_VALUE"""),1)</f>
        <v>1</v>
      </c>
      <c r="D6" s="0" t="str">
        <f aca="false">IFERROR(__xludf.dummyfunction("""COMPUTED_VALUE"""),"AICI202109-2-1| Revisar, ajustar y socializar el procedimiento de vacunación segun ajustes propuestos (20/10/2021 - 20/10/2021)")</f>
        <v>AICI202109-2-1| Revisar, ajustar y socializar el procedimiento de vacunación segun ajustes propuestos (20/10/2021 - 20/10/2021)</v>
      </c>
      <c r="E6" s="0" t="str">
        <f aca="false">IFERROR(__xludf.dummyfunction("""COMPUTED_VALUE"""),"Se revisa y ajusta el procedimiento de vacunación y se incluye reunión de briefing y debriefing, se anexan actas de socialización")</f>
        <v>Se revisa y ajusta el procedimiento de vacunación y se incluye reunión de briefing y debriefing, se anexan actas de socialización</v>
      </c>
      <c r="F6" s="0" t="str">
        <f aca="false">IFERROR(__xludf.dummyfunction("""COMPUTED_VALUE"""),"Completo")</f>
        <v>Completo</v>
      </c>
    </row>
    <row r="7" customFormat="false" ht="14.25" hidden="false" customHeight="false" outlineLevel="0" collapsed="false">
      <c r="A7" s="18" t="str">
        <f aca="false">IFERROR(MID(D7,1,FIND("|",D7)-1)&amp;"-"&amp;C7,"")</f>
        <v>AICI202109-3-1-1</v>
      </c>
      <c r="B7" s="19" t="n">
        <f aca="false">IFERROR(__xludf.dummyfunction("""COMPUTED_VALUE"""),44596)</f>
        <v>44596</v>
      </c>
      <c r="C7" s="0" t="n">
        <f aca="false">IFERROR(__xludf.dummyfunction("""COMPUTED_VALUE"""),1)</f>
        <v>1</v>
      </c>
      <c r="D7" s="0" t="str">
        <f aca="false">IFERROR(__xludf.dummyfunction("""COMPUTED_VALUE"""),"AICI202109-3-1| Revisar, ajustar y socializar el procedimiento de vacunación segun ajustes propuestos (20/10/2021 - 20/11/2021)")</f>
        <v>AICI202109-3-1| Revisar, ajustar y socializar el procedimiento de vacunación segun ajustes propuestos (20/10/2021 - 20/11/2021)</v>
      </c>
      <c r="E7" s="0" t="str">
        <f aca="false">IFERROR(__xludf.dummyfunction("""COMPUTED_VALUE"""),"Se anexa semaforización de carnés con la dosis aplicada y confrontación de datos")</f>
        <v>Se anexa semaforización de carnés con la dosis aplicada y confrontación de datos</v>
      </c>
      <c r="F7" s="0" t="str">
        <f aca="false">IFERROR(__xludf.dummyfunction("""COMPUTED_VALUE"""),"Completo")</f>
        <v>Completo</v>
      </c>
    </row>
    <row r="8" customFormat="false" ht="14.25" hidden="false" customHeight="false" outlineLevel="0" collapsed="false">
      <c r="A8" s="18" t="str">
        <f aca="false">IFERROR(MID(D8,1,FIND("|",D8)-1)&amp;"-"&amp;C8,"")</f>
        <v>AICI202109-4-1-1</v>
      </c>
      <c r="B8" s="19" t="n">
        <f aca="false">IFERROR(__xludf.dummyfunction("""COMPUTED_VALUE"""),44596)</f>
        <v>44596</v>
      </c>
      <c r="C8" s="0" t="n">
        <f aca="false">IFERROR(__xludf.dummyfunction("""COMPUTED_VALUE"""),1)</f>
        <v>1</v>
      </c>
      <c r="D8" s="0" t="str">
        <f aca="false">IFERROR(__xludf.dummyfunction("""COMPUTED_VALUE"""),"AICI202109-4-1| Actualizar y socializar el Instructivo Plan de seguridad para la vacunación COVID-19 (20/10/2021 - 20/11/2021)")</f>
        <v>AICI202109-4-1| Actualizar y socializar el Instructivo Plan de seguridad para la vacunación COVID-19 (20/10/2021 - 20/11/2021)</v>
      </c>
      <c r="E8" s="0" t="str">
        <f aca="false">IFERROR(__xludf.dummyfunction("""COMPUTED_VALUE"""),"Se capacita sobre el plan de seguridad, incluyendo la cadena de frio y el control de temperatura")</f>
        <v>Se capacita sobre el plan de seguridad, incluyendo la cadena de frio y el control de temperatura</v>
      </c>
      <c r="F8" s="0" t="str">
        <f aca="false">IFERROR(__xludf.dummyfunction("""COMPUTED_VALUE"""),"Completo")</f>
        <v>Completo</v>
      </c>
    </row>
    <row r="9" customFormat="false" ht="14.25" hidden="false" customHeight="false" outlineLevel="0" collapsed="false">
      <c r="A9" s="18" t="str">
        <f aca="false">IFERROR(MID(D9,1,FIND("|",D9)-1)&amp;"-"&amp;C9,"")</f>
        <v>AICI202109-5-1-1</v>
      </c>
      <c r="B9" s="19" t="n">
        <f aca="false">IFERROR(__xludf.dummyfunction("""COMPUTED_VALUE"""),44596)</f>
        <v>44596</v>
      </c>
      <c r="C9" s="0" t="n">
        <f aca="false">IFERROR(__xludf.dummyfunction("""COMPUTED_VALUE"""),1)</f>
        <v>1</v>
      </c>
      <c r="D9" s="0" t="str">
        <f aca="false">IFERROR(__xludf.dummyfunction("""COMPUTED_VALUE"""),"AICI202109-5-1| Capacitación sobre la técnica de lavado de manos 5 momentos ... (20/10/2021 - 20/11/2021)")</f>
        <v>AICI202109-5-1| Capacitación sobre la técnica de lavado de manos 5 momentos ... (20/10/2021 - 20/11/2021)</v>
      </c>
      <c r="E9" s="0" t="str">
        <f aca="false">IFERROR(__xludf.dummyfunction("""COMPUTED_VALUE"""),"Se anexan actas de capacitación en lavado de manos e higienización, se incluye seguimiento de higienización cada 5 usuarios atendidos")</f>
        <v>Se anexan actas de capacitación en lavado de manos e higienización, se incluye seguimiento de higienización cada 5 usuarios atendidos</v>
      </c>
      <c r="F9" s="0" t="str">
        <f aca="false">IFERROR(__xludf.dummyfunction("""COMPUTED_VALUE"""),"Completo")</f>
        <v>Completo</v>
      </c>
    </row>
    <row r="10" customFormat="false" ht="14.25" hidden="false" customHeight="false" outlineLevel="0" collapsed="false">
      <c r="A10" s="18" t="str">
        <f aca="false">IFERROR(MID(D10,1,FIND("|",D10)-1)&amp;"-"&amp;C10,"")</f>
        <v>AICI202109-8-1-1</v>
      </c>
      <c r="B10" s="19" t="n">
        <f aca="false">IFERROR(__xludf.dummyfunction("""COMPUTED_VALUE"""),44596)</f>
        <v>44596</v>
      </c>
      <c r="C10" s="0" t="n">
        <f aca="false">IFERROR(__xludf.dummyfunction("""COMPUTED_VALUE"""),1)</f>
        <v>1</v>
      </c>
      <c r="D10" s="0" t="str">
        <f aca="false">IFERROR(__xludf.dummyfunction("""COMPUTED_VALUE"""),"AICI202109-8-1| Remplazar y socializar el formato Lista de chequeo TH Vacunación contra SARS-CV-2 código MI-RS-F_299-01 (20/10/2021 - 20/11/2021)")</f>
        <v>AICI202109-8-1| Remplazar y socializar el formato Lista de chequeo TH Vacunación contra SARS-CV-2 código MI-RS-F_299-01 (20/10/2021 - 20/11/2021)</v>
      </c>
      <c r="E10" s="0" t="str">
        <f aca="false">IFERROR(__xludf.dummyfunction("""COMPUTED_VALUE"""),"Se evidencia la nueva lista de chequeo Briefing y debrienfing con codigo   MI-RS-F-304-01 y las actas de capacitación")</f>
        <v>Se evidencia la nueva lista de chequeo Briefing y debrienfing con codigo   MI-RS-F-304-01 y las actas de capacitación</v>
      </c>
      <c r="F10" s="0" t="str">
        <f aca="false">IFERROR(__xludf.dummyfunction("""COMPUTED_VALUE"""),"Completo")</f>
        <v>Completo</v>
      </c>
    </row>
    <row r="11" customFormat="false" ht="14.25" hidden="false" customHeight="false" outlineLevel="0" collapsed="false">
      <c r="A11" s="18" t="str">
        <f aca="false">IFERROR(MID(D11,1,FIND("|",D11)-1)&amp;"-"&amp;C11,"")</f>
        <v>AICI202109-9-1-1</v>
      </c>
      <c r="B11" s="19" t="n">
        <f aca="false">IFERROR(__xludf.dummyfunction("""COMPUTED_VALUE"""),44596)</f>
        <v>44596</v>
      </c>
      <c r="C11" s="0" t="n">
        <f aca="false">IFERROR(__xludf.dummyfunction("""COMPUTED_VALUE"""),1)</f>
        <v>1</v>
      </c>
      <c r="D11" s="0" t="str">
        <f aca="false">IFERROR(__xludf.dummyfunction("""COMPUTED_VALUE"""),"AICI202109-9-1| Socializar a los lideres de punto el formato para RECEPCIÓN TÉCNICA DE MEDICAMENTO BIOLOGICO VACUNA COVID -19 (20/10/2021 - 20/11/2021)")</f>
        <v>AICI202109-9-1| Socializar a los lideres de punto el formato para RECEPCIÓN TÉCNICA DE MEDICAMENTO BIOLOGICO VACUNA COVID -19 (20/10/2021 - 20/11/2021)</v>
      </c>
      <c r="E11" s="0" t="str">
        <f aca="false">IFERROR(__xludf.dummyfunction("""COMPUTED_VALUE"""),"Se observa nuevo formato RECEPCIÓN TÉCNICA DE MEDICAMENTO BIOLOGICO VACUNA COVID -19, DISPOSITIVOS MÉDICOS E INSUMOS Código: SDS-GSP-FT-103  V.1 y su socialización")</f>
        <v>Se observa nuevo formato RECEPCIÓN TÉCNICA DE MEDICAMENTO BIOLOGICO VACUNA COVID -19, DISPOSITIVOS MÉDICOS E INSUMOS Código: SDS-GSP-FT-103  V.1 y su socialización</v>
      </c>
      <c r="F11" s="0" t="str">
        <f aca="false">IFERROR(__xludf.dummyfunction("""COMPUTED_VALUE"""),"Completo")</f>
        <v>Completo</v>
      </c>
    </row>
    <row r="12" customFormat="false" ht="14.25" hidden="false" customHeight="false" outlineLevel="0" collapsed="false">
      <c r="A12" s="18" t="str">
        <f aca="false">IFERROR(MID(D12,1,FIND("|",D12)-1)&amp;"-"&amp;C12,"")</f>
        <v>AICI202109-10-1-1</v>
      </c>
      <c r="B12" s="19" t="n">
        <f aca="false">IFERROR(__xludf.dummyfunction("""COMPUTED_VALUE"""),44596)</f>
        <v>44596</v>
      </c>
      <c r="C12" s="0" t="n">
        <f aca="false">IFERROR(__xludf.dummyfunction("""COMPUTED_VALUE"""),1)</f>
        <v>1</v>
      </c>
      <c r="D12" s="0" t="str">
        <f aca="false">IFERROR(__xludf.dummyfunction("""COMPUTED_VALUE"""),"AICI202109-10-1| Revisar y socializar el proceso de limpieza y desinfección SDS-GSP-FT-103 (20/10/2021 - 20/11/2021)")</f>
        <v>AICI202109-10-1| Revisar y socializar el proceso de limpieza y desinfección SDS-GSP-FT-103 (20/10/2021 - 20/11/2021)</v>
      </c>
      <c r="E12" s="0" t="str">
        <f aca="false">IFERROR(__xludf.dummyfunction("""COMPUTED_VALUE"""),"Se observan actas de  capacitación de limpieza y desinfección de equipos biomédicos, se anexan actas de capacitación en bioética")</f>
        <v>Se observan actas de  capacitación de limpieza y desinfección de equipos biomédicos, se anexan actas de capacitación en bioética</v>
      </c>
      <c r="F12" s="0" t="str">
        <f aca="false">IFERROR(__xludf.dummyfunction("""COMPUTED_VALUE"""),"Completo")</f>
        <v>Completo</v>
      </c>
    </row>
    <row r="13" customFormat="false" ht="14.25" hidden="false" customHeight="false" outlineLevel="0" collapsed="false">
      <c r="A13" s="18" t="str">
        <f aca="false">IFERROR(MID(D13,1,FIND("|",D13)-1)&amp;"-"&amp;C13,"")</f>
        <v>AICI202109-7-1-2</v>
      </c>
      <c r="B13" s="19" t="n">
        <f aca="false">IFERROR(__xludf.dummyfunction("""COMPUTED_VALUE"""),44630)</f>
        <v>44630</v>
      </c>
      <c r="C13" s="0" t="n">
        <f aca="false">IFERROR(__xludf.dummyfunction("""COMPUTED_VALUE"""),2)</f>
        <v>2</v>
      </c>
      <c r="D13" s="0" t="str">
        <f aca="false">IFERROR(__xludf.dummyfunction("""COMPUTED_VALUE"""),"AICI202109-7-1| Revisar, ajustar y socializar el procedimiento de vacunación y el instructivo ESAVI (20/10/2021 - 20/11/2021)")</f>
        <v>AICI202109-7-1| Revisar, ajustar y socializar el procedimiento de vacunación y el instructivo ESAVI (20/10/2021 - 20/11/2021)</v>
      </c>
      <c r="E13" s="0" t="str">
        <f aca="false">IFERROR(__xludf.dummyfunction("""COMPUTED_VALUE"""),"Se anexa instructivo ESAVI en versión 4,donde se observan riesgos y controles y su respectiva socialización ")</f>
        <v>Se anexa instructivo ESAVI en versión 4,donde se observan riesgos y controles y su respectiva socialización </v>
      </c>
      <c r="F13" s="0" t="str">
        <f aca="false">IFERROR(__xludf.dummyfunction("""COMPUTED_VALUE"""),"Completo")</f>
        <v>Completo</v>
      </c>
      <c r="G13" s="0" t="str">
        <f aca="false">IFERROR(__xludf.dummyfunction("""COMPUTED_VALUE"""),"Sí")</f>
        <v>Sí</v>
      </c>
    </row>
    <row r="14" customFormat="false" ht="14.25" hidden="false" customHeight="false" outlineLevel="0" collapsed="false">
      <c r="A14" s="18" t="str">
        <f aca="false">IFERROR(MID(D14,1,FIND("|",D14)-1)&amp;"-"&amp;C14,"")</f>
        <v>AICI202109-6-1-2</v>
      </c>
      <c r="B14" s="19" t="n">
        <f aca="false">IFERROR(__xludf.dummyfunction("""COMPUTED_VALUE"""),44632)</f>
        <v>44632</v>
      </c>
      <c r="C14" s="0" t="n">
        <f aca="false">IFERROR(__xludf.dummyfunction("""COMPUTED_VALUE"""),2)</f>
        <v>2</v>
      </c>
      <c r="D14" s="0" t="str">
        <f aca="false">IFERROR(__xludf.dummyfunction("""COMPUTED_VALUE"""),"AICI202109-6-1| Actualizar y socializar el Instructivo Plan de acciónvacunación COVID-19 (20/10/2021 - 20/11/2021)")</f>
        <v>AICI202109-6-1| Actualizar y socializar el Instructivo Plan de acciónvacunación COVID-19 (20/10/2021 - 20/11/2021)</v>
      </c>
      <c r="E14" s="0" t="str">
        <f aca="false">IFERROR(__xludf.dummyfunction("""COMPUTED_VALUE"""),"Se observa instructivo de vacunación en versión 3,él cual contiene controles")</f>
        <v>Se observa instructivo de vacunación en versión 3,él cual contiene controles</v>
      </c>
      <c r="F14" s="0" t="str">
        <f aca="false">IFERROR(__xludf.dummyfunction("""COMPUTED_VALUE"""),"Completo")</f>
        <v>Completo</v>
      </c>
      <c r="G14" s="0" t="str">
        <f aca="false">IFERROR(__xludf.dummyfunction("""COMPUTED_VALUE"""),"Sí")</f>
        <v>Sí</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3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1810</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AICI202110-1-1-1</v>
      </c>
      <c r="B4" s="19" t="n">
        <f aca="false">IFERROR(__xludf.dummyfunction("""COMPUTED_VALUE"""),44585)</f>
        <v>44585</v>
      </c>
      <c r="C4" s="0" t="n">
        <f aca="false">IFERROR(__xludf.dummyfunction("""COMPUTED_VALUE"""),1)</f>
        <v>1</v>
      </c>
      <c r="D4" s="0" t="str">
        <f aca="false">IFERROR(__xludf.dummyfunction("""COMPUTED_VALUE"""),"AICI202110-1-1| Revisión de las normatividad aplicable vigente a cada comité. (15/09/2021 - 30/11/2021)")</f>
        <v>AICI202110-1-1| Revisión de las normatividad aplicable vigente a cada comité. (15/09/2021 - 30/11/2021)</v>
      </c>
      <c r="E4" s="0" t="str">
        <f aca="false">IFERROR(__xludf.dummyfunction("""COMPUTED_VALUE"""),"Se informa que se revisó  la normatividad aplicada al comité de historias clínicas del 15/09/2021  al 05/10/201   y se realizó su actualización con la  Resolución No 687 del 08/10/2021, se adjunta resolución.  Se verifica resolución 825 del 9 de noviembre"&amp;" de 2021 mediante la cual se actualiza la normatividad y se realizan algunos ajustes al comité de Gestión Clínica Excelente y Segura.  No se recibe soportes de los otros comités.")</f>
        <v>Se informa que se revisó  la normatividad aplicada al comité de historias clínicas del 15/09/2021  al 05/10/201   y se realizó su actualización con la  Resolución No 687 del 08/10/2021, se adjunta resolución.  Se verifica resolución 825 del 9 de noviembre de 2021 mediante la cual se actualiza la normatividad y se realizan algunos ajustes al comité de Gestión Clínica Excelente y Segura.  No se recibe soportes de los otros comités.</v>
      </c>
      <c r="F4" s="0" t="str">
        <f aca="false">IFERROR(__xludf.dummyfunction("""COMPUTED_VALUE"""),"Atrasado")</f>
        <v>Atrasado</v>
      </c>
    </row>
    <row r="5" customFormat="false" ht="14.25" hidden="false" customHeight="false" outlineLevel="0" collapsed="false">
      <c r="A5" s="18" t="str">
        <f aca="false">IFERROR(MID(D5,1,FIND("|",D5)-1)&amp;"-"&amp;C5,"")</f>
        <v>AICI202110-1-2-1</v>
      </c>
      <c r="B5" s="19" t="n">
        <f aca="false">IFERROR(__xludf.dummyfunction("""COMPUTED_VALUE"""),44616)</f>
        <v>44616</v>
      </c>
      <c r="C5" s="0" t="n">
        <f aca="false">IFERROR(__xludf.dummyfunction("""COMPUTED_VALUE"""),1)</f>
        <v>1</v>
      </c>
      <c r="D5" s="0" t="str">
        <f aca="false">IFERROR(__xludf.dummyfunction("""COMPUTED_VALUE"""),"AICI202110-1-2| Actualización de las resoluciones que lo requieran de acuerdo a la normatividad vigente. (15/09/2021 - 30/11/2021)")</f>
        <v>AICI202110-1-2| Actualización de las resoluciones que lo requieran de acuerdo a la normatividad vigente. (15/09/2021 - 30/11/2021)</v>
      </c>
      <c r="E5" s="0" t="str">
        <f aca="false">IFERROR(__xludf.dummyfunction("""COMPUTED_VALUE"""),"Se informa que se revisó  la normatividad aplicada al comité de historias clínicas del 15/09/2021  al 05/10/201   y se realizó su actualización con la  Resolución No 687 del 08/10/2021, se adjunta resolución. Se  evidencia resolución 825 del 9 de noviembr"&amp;"e de 2021 mediante la cual se actualiza la normatividad y se realizan algunos ajustes al comité de Gestión Clínica Excelente y Segura.  No se recibe soportes de los otros comités.")</f>
        <v>Se informa que se revisó  la normatividad aplicada al comité de historias clínicas del 15/09/2021  al 05/10/201   y se realizó su actualización con la  Resolución No 687 del 08/10/2021, se adjunta resolución. Se  evidencia resolución 825 del 9 de noviembre de 2021 mediante la cual se actualiza la normatividad y se realizan algunos ajustes al comité de Gestión Clínica Excelente y Segura.  No se recibe soportes de los otros comités.</v>
      </c>
      <c r="F5" s="0" t="str">
        <f aca="false">IFERROR(__xludf.dummyfunction("""COMPUTED_VALUE"""),"Atrasado")</f>
        <v>Atrasado</v>
      </c>
    </row>
    <row r="6" customFormat="false" ht="14.25" hidden="false" customHeight="false" outlineLevel="0" collapsed="false">
      <c r="A6" s="18" t="str">
        <f aca="false">IFERROR(MID(D6,1,FIND("|",D6)-1)&amp;"-"&amp;C6,"")</f>
        <v>AICI202110-1-3-1</v>
      </c>
      <c r="B6" s="19" t="n">
        <f aca="false">IFERROR(__xludf.dummyfunction("""COMPUTED_VALUE"""),44585)</f>
        <v>44585</v>
      </c>
      <c r="C6" s="0" t="n">
        <f aca="false">IFERROR(__xludf.dummyfunction("""COMPUTED_VALUE"""),1)</f>
        <v>1</v>
      </c>
      <c r="D6" s="0" t="str">
        <f aca="false">IFERROR(__xludf.dummyfunction("""COMPUTED_VALUE"""),"AICI202110-1-3| Socialización de las resoluciones actualizadas. (15/09/2021 - 31/12/2021)")</f>
        <v>AICI202110-1-3| Socialización de las resoluciones actualizadas. (15/09/2021 - 31/12/2021)</v>
      </c>
      <c r="E6" s="0" t="str">
        <f aca="false">IFERROR(__xludf.dummyfunction("""COMPUTED_VALUE"""),"Se socializó la Resolución No 687 del 08/10/2021 del comité de HC  en la sesión ordinaria del comité de historias clínicas del mes de octubre 2021 realizada el 28/10/2021.    Se adjunta acta del comité y presentación ver pg. 36 del archivo.
La resolución "&amp;"actualizada del comité de Gestión Clínica Excelente y Segura (Resolución No 825 del 09 de noviembre de 2021), fue socializada en el comité de GCES del 15 de diciembre, por el secretario técnico, haciendo énfasis en normatividad actual, integrantes del com"&amp;"ité y funciones del secretario técnico. Se adjunta acta y presentación del comité del mes de diciembre. No se refieren avances de otros comités. Se anexa acta comité GCES , se revisa acta de comité HC, es muy pesado el archivo y no se puede subir como sop"&amp;"orte.")</f>
        <v>Se socializó la Resolución No 687 del 08/10/2021 del comité de HC  en la sesión ordinaria del comité de historias clínicas del mes de octubre 2021 realizada el 28/10/2021.    Se adjunta acta del comité y presentación ver pg. 36 del archivo.
La resolución actualizada del comité de Gestión Clínica Excelente y Segura (Resolución No 825 del 09 de noviembre de 2021), fue socializada en el comité de GCES del 15 de diciembre, por el secretario técnico, haciendo énfasis en normatividad actual, integrantes del comité y funciones del secretario técnico. Se adjunta acta y presentación del comité del mes de diciembre. No se refieren avances de otros comités. Se anexa acta comité GCES , se revisa acta de comité HC, es muy pesado el archivo y no se puede subir como soporte.</v>
      </c>
      <c r="F6" s="0" t="str">
        <f aca="false">IFERROR(__xludf.dummyfunction("""COMPUTED_VALUE"""),"Atrasado")</f>
        <v>Atrasado</v>
      </c>
    </row>
    <row r="7" customFormat="false" ht="14.25" hidden="false" customHeight="false" outlineLevel="0" collapsed="false">
      <c r="A7" s="18" t="str">
        <f aca="false">IFERROR(MID(D7,1,FIND("|",D7)-1)&amp;"-"&amp;C7,"")</f>
        <v>AICI202110-2-1-1</v>
      </c>
      <c r="B7" s="19" t="n">
        <f aca="false">IFERROR(__xludf.dummyfunction("""COMPUTED_VALUE"""),44585)</f>
        <v>44585</v>
      </c>
      <c r="C7" s="0" t="n">
        <f aca="false">IFERROR(__xludf.dummyfunction("""COMPUTED_VALUE"""),1)</f>
        <v>1</v>
      </c>
      <c r="D7" s="0" t="str">
        <f aca="false">IFERROR(__xludf.dummyfunction("""COMPUTED_VALUE"""),"AICI202110-2-1| Revisión de las funciones de los miembros de los comités contenidas en las resoluciones vigentes (15/09/2021 - 30/11/2021)")</f>
        <v>AICI202110-2-1| Revisión de las funciones de los miembros de los comités contenidas en las resoluciones vigentes (15/09/2021 - 30/11/2021)</v>
      </c>
      <c r="E7" s="0" t="str">
        <f aca="false">IFERROR(__xludf.dummyfunction("""COMPUTED_VALUE"""),"Se informa que se revisaron las funciones  del  presidentes y secretario del comité de historias clínicas del 15/09/2021  al 05/10/201   y se realizó su actualización con la  Resolución No 687 del 08/10/2021, se adjunta resolución
Se  evidencia resolución"&amp;" 825 del 9 de noviembre de 2021 mediante la cual se actualizan funciones  de miembros del  comité de Gestión Clínica Excelente y Segura. Se anexa soporte.  No se recibe soportes de los otros comités.")</f>
        <v>Se informa que se revisaron las funciones  del  presidentes y secretario del comité de historias clínicas del 15/09/2021  al 05/10/201   y se realizó su actualización con la  Resolución No 687 del 08/10/2021, se adjunta resolución
Se  evidencia resolución 825 del 9 de noviembre de 2021 mediante la cual se actualizan funciones  de miembros del  comité de Gestión Clínica Excelente y Segura. Se anexa soporte.  No se recibe soportes de los otros comités.</v>
      </c>
      <c r="F7" s="0" t="str">
        <f aca="false">IFERROR(__xludf.dummyfunction("""COMPUTED_VALUE"""),"Atrasado")</f>
        <v>Atrasado</v>
      </c>
    </row>
    <row r="8" customFormat="false" ht="14.25" hidden="false" customHeight="false" outlineLevel="0" collapsed="false">
      <c r="A8" s="18" t="str">
        <f aca="false">IFERROR(MID(D8,1,FIND("|",D8)-1)&amp;"-"&amp;C8,"")</f>
        <v>AICI202110-2-2-1</v>
      </c>
      <c r="B8" s="19" t="n">
        <f aca="false">IFERROR(__xludf.dummyfunction("""COMPUTED_VALUE"""),44585)</f>
        <v>44585</v>
      </c>
      <c r="C8" s="0" t="n">
        <f aca="false">IFERROR(__xludf.dummyfunction("""COMPUTED_VALUE"""),1)</f>
        <v>1</v>
      </c>
      <c r="D8" s="0" t="str">
        <f aca="false">IFERROR(__xludf.dummyfunction("""COMPUTED_VALUE"""),"AICI202110-2-2| Actualización de las resoluciones que lo requieran de acuerdo a la revisión realizada. (15/09/2021 - 30/11/2021)")</f>
        <v>AICI202110-2-2| Actualización de las resoluciones que lo requieran de acuerdo a la revisión realizada. (15/09/2021 - 30/11/2021)</v>
      </c>
      <c r="E8" s="0" t="str">
        <f aca="false">IFERROR(__xludf.dummyfunction("""COMPUTED_VALUE"""),"Se informa que se revisaron las funciones  del  presidentes y secretario del comité de historias clínicas del 15/09/2021  al 05/10/201   y se realizó su actualización con la  Resolución No 687 del 08/10/2021, se adjunta resolución
Se  evidencia resolución"&amp;" 825 del 9 de noviembre de 2021 mediante la cual se actualizan funciones  de miembros del  comité de Gestión Clínica Excelente y Segura. Se anexa soporte.  No se recibe soportes de los otros comités.")</f>
        <v>Se informa que se revisaron las funciones  del  presidentes y secretario del comité de historias clínicas del 15/09/2021  al 05/10/201   y se realizó su actualización con la  Resolución No 687 del 08/10/2021, se adjunta resolución
Se  evidencia resolución 825 del 9 de noviembre de 2021 mediante la cual se actualizan funciones  de miembros del  comité de Gestión Clínica Excelente y Segura. Se anexa soporte.  No se recibe soportes de los otros comités.</v>
      </c>
      <c r="F8" s="0" t="str">
        <f aca="false">IFERROR(__xludf.dummyfunction("""COMPUTED_VALUE"""),"Atrasado")</f>
        <v>Atrasado</v>
      </c>
    </row>
    <row r="9" customFormat="false" ht="14.25" hidden="false" customHeight="false" outlineLevel="0" collapsed="false">
      <c r="A9" s="18" t="str">
        <f aca="false">IFERROR(MID(D9,1,FIND("|",D9)-1)&amp;"-"&amp;C9,"")</f>
        <v>AICI202110-2-3-1</v>
      </c>
      <c r="B9" s="19" t="n">
        <f aca="false">IFERROR(__xludf.dummyfunction("""COMPUTED_VALUE"""),44585)</f>
        <v>44585</v>
      </c>
      <c r="C9" s="0" t="n">
        <f aca="false">IFERROR(__xludf.dummyfunction("""COMPUTED_VALUE"""),1)</f>
        <v>1</v>
      </c>
      <c r="D9" s="0" t="str">
        <f aca="false">IFERROR(__xludf.dummyfunction("""COMPUTED_VALUE"""),"AICI202110-2-3| Socialización de las resoluciones actualizadas (15/09/2021 - 31/12/2021)")</f>
        <v>AICI202110-2-3| Socialización de las resoluciones actualizadas (15/09/2021 - 31/12/2021)</v>
      </c>
      <c r="E9" s="0" t="str">
        <f aca="false">IFERROR(__xludf.dummyfunction("""COMPUTED_VALUE"""),"Se socializó la Resolución No 687 del 08/10/2021 del comité de HC  en la sesión ordinaria del comité de historias clínicas del mes de octubre 2021 realizada el 28/10/2021.    Se adjunta acta del comité y presentación ver pg. 36 del archivo.
La resolución "&amp;"actualizada del comité de Gestión Clínica Excelente y Segura (Resolución No 825 del 09 de noviembre de 2021), fue socializada en el comité de GCES del 15 de diciembre, por el secretario técnico, haciendo énfasis en normatividad actual, integrantes del com"&amp;"ité y funciones del secretario técnico. Se adjunta acta y presentación del comité del mes de diciembre. No se refieren avances de otros comités. Se verificaron soportes enviados. No se pueden subir al drive porque son muy pesados")</f>
        <v>Se socializó la Resolución No 687 del 08/10/2021 del comité de HC  en la sesión ordinaria del comité de historias clínicas del mes de octubre 2021 realizada el 28/10/2021.    Se adjunta acta del comité y presentación ver pg. 36 del archivo.
La resolución actualizada del comité de Gestión Clínica Excelente y Segura (Resolución No 825 del 09 de noviembre de 2021), fue socializada en el comité de GCES del 15 de diciembre, por el secretario técnico, haciendo énfasis en normatividad actual, integrantes del comité y funciones del secretario técnico. Se adjunta acta y presentación del comité del mes de diciembre. No se refieren avances de otros comités. Se verificaron soportes enviados. No se pueden subir al drive porque son muy pesados</v>
      </c>
      <c r="F9" s="0" t="str">
        <f aca="false">IFERROR(__xludf.dummyfunction("""COMPUTED_VALUE"""),"Atrasado")</f>
        <v>Atrasado</v>
      </c>
    </row>
    <row r="10" customFormat="false" ht="14.25" hidden="false" customHeight="false" outlineLevel="0" collapsed="false">
      <c r="A10" s="18" t="str">
        <f aca="false">IFERROR(MID(D10,1,FIND("|",D10)-1)&amp;"-"&amp;C10,"")</f>
        <v>AICI202110-3-1-1</v>
      </c>
      <c r="B10" s="19" t="n">
        <f aca="false">IFERROR(__xludf.dummyfunction("""COMPUTED_VALUE"""),44585)</f>
        <v>44585</v>
      </c>
      <c r="C10" s="0" t="n">
        <f aca="false">IFERROR(__xludf.dummyfunction("""COMPUTED_VALUE"""),1)</f>
        <v>1</v>
      </c>
      <c r="D10" s="0" t="str">
        <f aca="false">IFERROR(__xludf.dummyfunction("""COMPUTED_VALUE"""),"AICI202110-3-1| Revisión y actualización de los documentos relacionados con la gestión de los comités misionales (15/09/2021 - 30/11/2021)")</f>
        <v>AICI202110-3-1| Revisión y actualización de los documentos relacionados con la gestión de los comités misionales (15/09/2021 - 30/11/2021)</v>
      </c>
      <c r="E10" s="0" t="str">
        <f aca="false">IFERROR(__xludf.dummyfunction("""COMPUTED_VALUE"""),"No se enviaron soportes de esta acción. ")</f>
        <v>No se enviaron soportes de esta acción. </v>
      </c>
      <c r="F10" s="0" t="str">
        <f aca="false">IFERROR(__xludf.dummyfunction("""COMPUTED_VALUE"""),"Atrasado")</f>
        <v>Atrasado</v>
      </c>
    </row>
    <row r="11" customFormat="false" ht="14.25" hidden="false" customHeight="false" outlineLevel="0" collapsed="false">
      <c r="A11" s="18" t="str">
        <f aca="false">IFERROR(MID(D11,1,FIND("|",D11)-1)&amp;"-"&amp;C11,"")</f>
        <v>AICI202110-3-2-1</v>
      </c>
      <c r="B11" s="19" t="n">
        <f aca="false">IFERROR(__xludf.dummyfunction("""COMPUTED_VALUE"""),44585)</f>
        <v>44585</v>
      </c>
      <c r="C11" s="0" t="n">
        <f aca="false">IFERROR(__xludf.dummyfunction("""COMPUTED_VALUE"""),1)</f>
        <v>1</v>
      </c>
      <c r="D11" s="0" t="str">
        <f aca="false">IFERROR(__xludf.dummyfunction("""COMPUTED_VALUE"""),"AICI202110-3-2| Documentar la inducción y capacitación en los lineamientos actualizados para el funcionamiento ,,, (15/09/2021 - 31/12/2021)")</f>
        <v>AICI202110-3-2| Documentar la inducción y capacitación en los lineamientos actualizados para el funcionamiento ,,, (15/09/2021 - 31/12/2021)</v>
      </c>
      <c r="E11" s="0" t="str">
        <f aca="false">IFERROR(__xludf.dummyfunction("""COMPUTED_VALUE"""),"No se enviaron soportes de esta acción. ")</f>
        <v>No se enviaron soportes de esta acción. </v>
      </c>
      <c r="F11" s="0" t="str">
        <f aca="false">IFERROR(__xludf.dummyfunction("""COMPUTED_VALUE"""),"Atrasado")</f>
        <v>Atrasado</v>
      </c>
    </row>
    <row r="12" customFormat="false" ht="14.25" hidden="false" customHeight="false" outlineLevel="0" collapsed="false">
      <c r="A12" s="18" t="str">
        <f aca="false">IFERROR(MID(D12,1,FIND("|",D12)-1)&amp;"-"&amp;C12,"")</f>
        <v>AICI202110-4-1-1</v>
      </c>
      <c r="B12" s="19" t="n">
        <f aca="false">IFERROR(__xludf.dummyfunction("""COMPUTED_VALUE"""),44585)</f>
        <v>44585</v>
      </c>
      <c r="C12" s="0" t="n">
        <f aca="false">IFERROR(__xludf.dummyfunction("""COMPUTED_VALUE"""),1)</f>
        <v>1</v>
      </c>
      <c r="D12" s="0" t="str">
        <f aca="false">IFERROR(__xludf.dummyfunction("""COMPUTED_VALUE"""),"AICI202110-4-1| Revisión y actualización del documento Instructivo para la Gestión de los Comités Institucionales … (15/09/2021 - 30/12/2021)")</f>
        <v>AICI202110-4-1| Revisión y actualización del documento Instructivo para la Gestión de los Comités Institucionales … (15/09/2021 - 30/12/2021)</v>
      </c>
      <c r="E12" s="0" t="str">
        <f aca="false">IFERROR(__xludf.dummyfunction("""COMPUTED_VALUE"""),"Se realizó por parte de la oficina de calidad la revisión y actualización del documento Instructivo para la Gestión de los Comités Institucionales ES-GC-I-16.  Se adjunta documento actualizado versión 3 del 16/09/2021. ver pag 9. Se anexa soporte.")</f>
        <v>Se realizó por parte de la oficina de calidad la revisión y actualización del documento Instructivo para la Gestión de los Comités Institucionales ES-GC-I-16.  Se adjunta documento actualizado versión 3 del 16/09/2021. ver pag 9. Se anexa soporte.</v>
      </c>
      <c r="F12" s="0" t="str">
        <f aca="false">IFERROR(__xludf.dummyfunction("""COMPUTED_VALUE"""),"Completo")</f>
        <v>Completo</v>
      </c>
    </row>
    <row r="13" customFormat="false" ht="14.25" hidden="false" customHeight="false" outlineLevel="0" collapsed="false">
      <c r="A13" s="18" t="str">
        <f aca="false">IFERROR(MID(D13,1,FIND("|",D13)-1)&amp;"-"&amp;C13,"")</f>
        <v>AICI202110-4-2-1</v>
      </c>
      <c r="B13" s="19" t="n">
        <f aca="false">IFERROR(__xludf.dummyfunction("""COMPUTED_VALUE"""),44585)</f>
        <v>44585</v>
      </c>
      <c r="C13" s="0" t="n">
        <f aca="false">IFERROR(__xludf.dummyfunction("""COMPUTED_VALUE"""),1)</f>
        <v>1</v>
      </c>
      <c r="D13" s="0" t="str">
        <f aca="false">IFERROR(__xludf.dummyfunction("""COMPUTED_VALUE"""),"AICI202110-4-2| Socialización del documento actualizado. (15/09/2021 - 31/12/2021)")</f>
        <v>AICI202110-4-2| Socialización del documento actualizado. (15/09/2021 - 31/12/2021)</v>
      </c>
      <c r="E13" s="0" t="str">
        <f aca="false">IFERROR(__xludf.dummyfunction("""COMPUTED_VALUE"""),"Se socializó el documento   Instructivo para la Gestión de los Comités Institucionales ES-GC-I-16. versión 3 del 16/09/2021   en la sesión ordinaria del comité de historias clínicas del mes de octubre 2021 realizada el 28/10/2021.    Se adjunta acta del c"&amp;"omité y presentación ver pg 38. No se recibe soportes de los otros comités. Se verifica archivo pero no se puede subir al drive porque es demasiado pesado.")</f>
        <v>Se socializó el documento   Instructivo para la Gestión de los Comités Institucionales ES-GC-I-16. versión 3 del 16/09/2021   en la sesión ordinaria del comité de historias clínicas del mes de octubre 2021 realizada el 28/10/2021.    Se adjunta acta del comité y presentación ver pg 38. No se recibe soportes de los otros comités. Se verifica archivo pero no se puede subir al drive porque es demasiado pesado.</v>
      </c>
      <c r="F13" s="0" t="str">
        <f aca="false">IFERROR(__xludf.dummyfunction("""COMPUTED_VALUE"""),"Atrasado")</f>
        <v>Atrasado</v>
      </c>
    </row>
    <row r="14" customFormat="false" ht="14.25" hidden="false" customHeight="false" outlineLevel="0" collapsed="false">
      <c r="A14" s="18" t="str">
        <f aca="false">IFERROR(MID(D14,1,FIND("|",D14)-1)&amp;"-"&amp;C14,"")</f>
        <v>AICI202110-5-1-1</v>
      </c>
      <c r="B14" s="19" t="n">
        <f aca="false">IFERROR(__xludf.dummyfunction("""COMPUTED_VALUE"""),44585)</f>
        <v>44585</v>
      </c>
      <c r="C14" s="0" t="n">
        <f aca="false">IFERROR(__xludf.dummyfunction("""COMPUTED_VALUE"""),1)</f>
        <v>1</v>
      </c>
      <c r="D14" s="0" t="str">
        <f aca="false">IFERROR(__xludf.dummyfunction("""COMPUTED_VALUE"""),"AICI202110-5-1| Revisión y actualización del documento Instructivo para la Gestión de los Comités Institucionales … (15/09/2021 - 30/12/2021)")</f>
        <v>AICI202110-5-1| Revisión y actualización del documento Instructivo para la Gestión de los Comités Institucionales … (15/09/2021 - 30/12/2021)</v>
      </c>
      <c r="E14" s="0" t="str">
        <f aca="false">IFERROR(__xludf.dummyfunction("""COMPUTED_VALUE"""),"Se realizó por parte de la oficina de calidad la revisión y actualización del documento Instructivo para la Gestión de los Comités Institucionales ES-GC-I-16.  Se adjunta documento actualizado versión 3 del 16/09/2021. ver pg 7.")</f>
        <v>Se realizó por parte de la oficina de calidad la revisión y actualización del documento Instructivo para la Gestión de los Comités Institucionales ES-GC-I-16.  Se adjunta documento actualizado versión 3 del 16/09/2021. ver pg 7.</v>
      </c>
      <c r="F14" s="0" t="str">
        <f aca="false">IFERROR(__xludf.dummyfunction("""COMPUTED_VALUE"""),"Completo")</f>
        <v>Completo</v>
      </c>
    </row>
    <row r="15" customFormat="false" ht="14.25" hidden="false" customHeight="false" outlineLevel="0" collapsed="false">
      <c r="A15" s="18" t="str">
        <f aca="false">IFERROR(MID(D15,1,FIND("|",D15)-1)&amp;"-"&amp;C15,"")</f>
        <v>AICI202110-5-2-1</v>
      </c>
      <c r="B15" s="19" t="n">
        <f aca="false">IFERROR(__xludf.dummyfunction("""COMPUTED_VALUE"""),44585)</f>
        <v>44585</v>
      </c>
      <c r="C15" s="0" t="n">
        <f aca="false">IFERROR(__xludf.dummyfunction("""COMPUTED_VALUE"""),1)</f>
        <v>1</v>
      </c>
      <c r="D15" s="0" t="str">
        <f aca="false">IFERROR(__xludf.dummyfunction("""COMPUTED_VALUE"""),"AICI202110-5-2| Socialización de los documentos actualizados. (15/09/2021 - 30/12/2021)")</f>
        <v>AICI202110-5-2| Socialización de los documentos actualizados. (15/09/2021 - 30/12/2021)</v>
      </c>
      <c r="E15" s="0" t="str">
        <f aca="false">IFERROR(__xludf.dummyfunction("""COMPUTED_VALUE"""),"Se socializó el documento   Instructivo para la Gestión de los Comités Institucionales ES-GC-I-16. versión 3 del 16/09/2021   en la sesión ordinaria del comité de historias clínicas del mes de octubre 2021 realizada el 28/10/2021.    Se adjunta acta del c"&amp;"omité y presentación ver pg 38. No se reciben  soportes de socialización realizada por parte de Gestión de Calidad.  Se verificó el archivo, no se puede subir a l drive porque es muy pesado.")</f>
        <v>Se socializó el documento   Instructivo para la Gestión de los Comités Institucionales ES-GC-I-16. versión 3 del 16/09/2021   en la sesión ordinaria del comité de historias clínicas del mes de octubre 2021 realizada el 28/10/2021.    Se adjunta acta del comité y presentación ver pg 38. No se reciben  soportes de socialización realizada por parte de Gestión de Calidad.  Se verificó el archivo, no se puede subir a l drive porque es muy pesado.</v>
      </c>
      <c r="F15" s="0" t="str">
        <f aca="false">IFERROR(__xludf.dummyfunction("""COMPUTED_VALUE"""),"Atrasado")</f>
        <v>Atrasado</v>
      </c>
    </row>
    <row r="16" customFormat="false" ht="14.25" hidden="false" customHeight="false" outlineLevel="0" collapsed="false">
      <c r="A16" s="18" t="str">
        <f aca="false">IFERROR(MID(D16,1,FIND("|",D16)-1)&amp;"-"&amp;C16,"")</f>
        <v>AICI202110-6-1-1</v>
      </c>
      <c r="B16" s="19" t="n">
        <f aca="false">IFERROR(__xludf.dummyfunction("""COMPUTED_VALUE"""),44585)</f>
        <v>44585</v>
      </c>
      <c r="C16" s="0" t="n">
        <f aca="false">IFERROR(__xludf.dummyfunction("""COMPUTED_VALUE"""),1)</f>
        <v>1</v>
      </c>
      <c r="D16" s="0" t="str">
        <f aca="false">IFERROR(__xludf.dummyfunction("""COMPUTED_VALUE"""),"AICI202110-6-1| Diligenciamiento de las actas de acuerdo a los lineamientos establecidos en el documento … (15/09/2021 - 30/04/2022)")</f>
        <v>AICI202110-6-1| Diligenciamiento de las actas de acuerdo a los lineamientos establecidos en el documento … (15/09/2021 - 30/04/2022)</v>
      </c>
      <c r="E16" s="0" t="str">
        <f aca="false">IFERROR(__xludf.dummyfunction("""COMPUTED_VALUE"""),"El comité de historias clínicas informa diligenciamiento de actas   de acuerdo a los lineamientos establecidos en el documento Lineamientos generales para el seguimiento a compromisos derivados de auditorías, comités, unidades de análisis y  protocolos de"&amp;" Londres ES-GC-I-35 (ACTAS COMITES). Se adjunta como ejemplo el acta la sesión ordinaria  del comité de historias clínicas del mes de noviembre  2021. No se presenta información  de los otros comités.")</f>
        <v>El comité de historias clínicas informa diligenciamiento de actas   de acuerdo a los lineamientos establecidos en el documento Lineamientos generales para el seguimiento a compromisos derivados de auditorías, comités, unidades de análisis y  protocolos de Londres ES-GC-I-35 (ACTAS COMITES). Se adjunta como ejemplo el acta la sesión ordinaria  del comité de historias clínicas del mes de noviembre  2021. No se presenta información  de los otros comités.</v>
      </c>
      <c r="F16" s="0" t="str">
        <f aca="false">IFERROR(__xludf.dummyfunction("""COMPUTED_VALUE"""),"En desarrollo")</f>
        <v>En desarrollo</v>
      </c>
    </row>
    <row r="17" customFormat="false" ht="14.25" hidden="false" customHeight="false" outlineLevel="0" collapsed="false">
      <c r="A17" s="18" t="str">
        <f aca="false">IFERROR(MID(D17,1,FIND("|",D17)-1)&amp;"-"&amp;C17,"")</f>
        <v>AICI202110-6-2-1</v>
      </c>
      <c r="B17" s="19" t="n">
        <f aca="false">IFERROR(__xludf.dummyfunction("""COMPUTED_VALUE"""),44585)</f>
        <v>44585</v>
      </c>
      <c r="C17" s="0" t="n">
        <f aca="false">IFERROR(__xludf.dummyfunction("""COMPUTED_VALUE"""),1)</f>
        <v>1</v>
      </c>
      <c r="D17" s="0" t="str">
        <f aca="false">IFERROR(__xludf.dummyfunction("""COMPUTED_VALUE"""),"AICI202110-6-2| Actualizar y socializar Herramienta de seguimiento a la Gestión de los Comités ES-GC-F-45. (15/09/2021 - 31/12/2021)")</f>
        <v>AICI202110-6-2| Actualizar y socializar Herramienta de seguimiento a la Gestión de los Comités ES-GC-F-45. (15/09/2021 - 31/12/2021)</v>
      </c>
      <c r="E17" s="0" t="str">
        <f aca="false">IFERROR(__xludf.dummyfunction("""COMPUTED_VALUE"""),"No se enviaron soportes de esta acción")</f>
        <v>No se enviaron soportes de esta acción</v>
      </c>
      <c r="F17" s="0" t="str">
        <f aca="false">IFERROR(__xludf.dummyfunction("""COMPUTED_VALUE"""),"Atrasado")</f>
        <v>Atrasado</v>
      </c>
    </row>
    <row r="18" customFormat="false" ht="14.25" hidden="false" customHeight="false" outlineLevel="0" collapsed="false">
      <c r="A18" s="18" t="str">
        <f aca="false">IFERROR(MID(D18,1,FIND("|",D18)-1)&amp;"-"&amp;C18,"")</f>
        <v>AICI202110-6-3-1</v>
      </c>
      <c r="B18" s="19" t="n">
        <f aca="false">IFERROR(__xludf.dummyfunction("""COMPUTED_VALUE"""),44585)</f>
        <v>44585</v>
      </c>
      <c r="C18" s="0" t="n">
        <f aca="false">IFERROR(__xludf.dummyfunction("""COMPUTED_VALUE"""),1)</f>
        <v>1</v>
      </c>
      <c r="D18" s="0" t="str">
        <f aca="false">IFERROR(__xludf.dummyfunction("""COMPUTED_VALUE"""),"AICI202110-6-3| Realizar verificación de la calidad de las actas a través del seguimiento realizado por la Oficina de calidad (01/01/2022 - 30/04/2022)")</f>
        <v>AICI202110-6-3| Realizar verificación de la calidad de las actas a través del seguimiento realizado por la Oficina de calidad (01/01/2022 - 30/04/2022)</v>
      </c>
      <c r="E18" s="0" t="str">
        <f aca="false">IFERROR(__xludf.dummyfunction("""COMPUTED_VALUE"""),"No se enviaron soportes de esta acción")</f>
        <v>No se enviaron soportes de esta acción</v>
      </c>
      <c r="F18" s="0" t="str">
        <f aca="false">IFERROR(__xludf.dummyfunction("""COMPUTED_VALUE"""),"No iniciado")</f>
        <v>No iniciado</v>
      </c>
    </row>
    <row r="19" customFormat="false" ht="14.25" hidden="false" customHeight="false" outlineLevel="0" collapsed="false">
      <c r="A19" s="18" t="str">
        <f aca="false">IFERROR(MID(D19,1,FIND("|",D19)-1)&amp;"-"&amp;C19,"")</f>
        <v>AICI202110-6-4-1</v>
      </c>
      <c r="B19" s="19" t="n">
        <f aca="false">IFERROR(__xludf.dummyfunction("""COMPUTED_VALUE"""),44585)</f>
        <v>44585</v>
      </c>
      <c r="C19" s="0" t="n">
        <f aca="false">IFERROR(__xludf.dummyfunction("""COMPUTED_VALUE"""),1)</f>
        <v>1</v>
      </c>
      <c r="D19" s="0" t="str">
        <f aca="false">IFERROR(__xludf.dummyfunction("""COMPUTED_VALUE"""),"AICI202110-6-4| Presentar informe de los hallazgos a cada comité (01/05/2022 - 31/05/2022)")</f>
        <v>AICI202110-6-4| Presentar informe de los hallazgos a cada comité (01/05/2022 - 31/05/2022)</v>
      </c>
      <c r="E19" s="0" t="str">
        <f aca="false">IFERROR(__xludf.dummyfunction("""COMPUTED_VALUE"""),"No se enviaron soportes de esta acción")</f>
        <v>No se enviaron soportes de esta acción</v>
      </c>
      <c r="F19" s="0" t="str">
        <f aca="false">IFERROR(__xludf.dummyfunction("""COMPUTED_VALUE"""),"No iniciado")</f>
        <v>No iniciado</v>
      </c>
    </row>
    <row r="20" customFormat="false" ht="14.25" hidden="false" customHeight="false" outlineLevel="0" collapsed="false">
      <c r="A20" s="18" t="str">
        <f aca="false">IFERROR(MID(D20,1,FIND("|",D20)-1)&amp;"-"&amp;C20,"")</f>
        <v>AICI202110-7-1-1</v>
      </c>
      <c r="B20" s="19" t="n">
        <f aca="false">IFERROR(__xludf.dummyfunction("""COMPUTED_VALUE"""),44585)</f>
        <v>44585</v>
      </c>
      <c r="C20" s="0" t="n">
        <f aca="false">IFERROR(__xludf.dummyfunction("""COMPUTED_VALUE"""),1)</f>
        <v>1</v>
      </c>
      <c r="D20" s="0" t="str">
        <f aca="false">IFERROR(__xludf.dummyfunction("""COMPUTED_VALUE"""),"AICI202110-7-1| Socializar los Lineamientos generales para el seguimiento a compromisos derivados de auditorías … (15/09/2021 - 31/12/2021)")</f>
        <v>AICI202110-7-1| Socializar los Lineamientos generales para el seguimiento a compromisos derivados de auditorías … (15/09/2021 - 31/12/2021)</v>
      </c>
      <c r="E20" s="0" t="str">
        <f aca="false">IFERROR(__xludf.dummyfunction("""COMPUTED_VALUE"""),"Se socializó   el documento de los Lineamientos generales para el seguimiento a compromisos derivados de auditorías, comités, unidades de análisis y protocolos de Londres ES-GC-I-35 e. versión 2 del 16/09/2021   en  comité de historias clínicas del mes de"&amp;" octubre 2021     Se adjunta acta del comité y presentación ver pg 40. No se reciben soportes de los otros comités. Se verificó acata, pero no se puede subir el archivo porque pesa demasiado.")</f>
        <v>Se socializó   el documento de los Lineamientos generales para el seguimiento a compromisos derivados de auditorías, comités, unidades de análisis y protocolos de Londres ES-GC-I-35 e. versión 2 del 16/09/2021   en  comité de historias clínicas del mes de octubre 2021     Se adjunta acta del comité y presentación ver pg 40. No se reciben soportes de los otros comités. Se verificó acata, pero no se puede subir el archivo porque pesa demasiado.</v>
      </c>
      <c r="F20" s="0" t="str">
        <f aca="false">IFERROR(__xludf.dummyfunction("""COMPUTED_VALUE"""),"Atrasado")</f>
        <v>Atrasado</v>
      </c>
    </row>
    <row r="21" customFormat="false" ht="14.25" hidden="false" customHeight="false" outlineLevel="0" collapsed="false">
      <c r="A21" s="18" t="str">
        <f aca="false">IFERROR(MID(D21,1,FIND("|",D21)-1)&amp;"-"&amp;C21,"")</f>
        <v>AICI202110-7-2-1</v>
      </c>
      <c r="B21" s="19" t="n">
        <f aca="false">IFERROR(__xludf.dummyfunction("""COMPUTED_VALUE"""),44585)</f>
        <v>44585</v>
      </c>
      <c r="C21" s="0" t="n">
        <f aca="false">IFERROR(__xludf.dummyfunction("""COMPUTED_VALUE"""),1)</f>
        <v>1</v>
      </c>
      <c r="D21" s="0" t="str">
        <f aca="false">IFERROR(__xludf.dummyfunction("""COMPUTED_VALUE"""),"AICI202110-7-2| Socializar el Instructivo para la Gestión de los Comités Institucionales ES-GC-I-16 actualizado … (15/09/2021 - 31/12/2021)")</f>
        <v>AICI202110-7-2| Socializar el Instructivo para la Gestión de los Comités Institucionales ES-GC-I-16 actualizado … (15/09/2021 - 31/12/2021)</v>
      </c>
      <c r="E21" s="0" t="str">
        <f aca="false">IFERROR(__xludf.dummyfunction("""COMPUTED_VALUE"""),"Se socializó el documento   Instructivo para la Gestión de los Comités Institucionales ES-GC-I-16. versión 3 del 16/09/2021   en la sesión ordinaria del comité de historias clínicas del mes de octubre 2021 realizada el 28/10/2021.    Se adjunta acta del c"&amp;"omité y presentación ver pg 38. No se reciben  soportes de socialización realizada por los otros comités. Se verificó acta, pero no se puede subir archivo porque pesa demasiado.")</f>
        <v>Se socializó el documento   Instructivo para la Gestión de los Comités Institucionales ES-GC-I-16. versión 3 del 16/09/2021   en la sesión ordinaria del comité de historias clínicas del mes de octubre 2021 realizada el 28/10/2021.    Se adjunta acta del comité y presentación ver pg 38. No se reciben  soportes de socialización realizada por los otros comités. Se verificó acta, pero no se puede subir archivo porque pesa demasiado.</v>
      </c>
      <c r="F21" s="0" t="str">
        <f aca="false">IFERROR(__xludf.dummyfunction("""COMPUTED_VALUE"""),"Atrasado")</f>
        <v>Atrasado</v>
      </c>
    </row>
    <row r="22" customFormat="false" ht="14.25" hidden="false" customHeight="false" outlineLevel="0" collapsed="false">
      <c r="A22" s="18" t="str">
        <f aca="false">IFERROR(MID(D22,1,FIND("|",D22)-1)&amp;"-"&amp;C22,"")</f>
        <v>AICI202110-7-3-1</v>
      </c>
      <c r="B22" s="19" t="n">
        <f aca="false">IFERROR(__xludf.dummyfunction("""COMPUTED_VALUE"""),44585)</f>
        <v>44585</v>
      </c>
      <c r="C22" s="0" t="n">
        <f aca="false">IFERROR(__xludf.dummyfunction("""COMPUTED_VALUE"""),1)</f>
        <v>1</v>
      </c>
      <c r="D22" s="0" t="str">
        <f aca="false">IFERROR(__xludf.dummyfunction("""COMPUTED_VALUE"""),"AICI202110-7-3| Realizar verificación de la calidad de los planes de mejora y planes de acción a través del … (01/01/2022 - 30/04/2022)")</f>
        <v>AICI202110-7-3| Realizar verificación de la calidad de los planes de mejora y planes de acción a través del … (01/01/2022 - 30/04/2022)</v>
      </c>
      <c r="E22" s="0" t="str">
        <f aca="false">IFERROR(__xludf.dummyfunction("""COMPUTED_VALUE"""),"No iniciado")</f>
        <v>No iniciado</v>
      </c>
      <c r="F22" s="0" t="str">
        <f aca="false">IFERROR(__xludf.dummyfunction("""COMPUTED_VALUE"""),"No iniciado")</f>
        <v>No iniciado</v>
      </c>
    </row>
    <row r="23" customFormat="false" ht="14.25" hidden="false" customHeight="false" outlineLevel="0" collapsed="false">
      <c r="A23" s="18" t="str">
        <f aca="false">IFERROR(MID(D23,1,FIND("|",D23)-1)&amp;"-"&amp;C23,"")</f>
        <v>AICI202110-7-4-1</v>
      </c>
      <c r="B23" s="19" t="n">
        <f aca="false">IFERROR(__xludf.dummyfunction("""COMPUTED_VALUE"""),44585)</f>
        <v>44585</v>
      </c>
      <c r="C23" s="0" t="n">
        <f aca="false">IFERROR(__xludf.dummyfunction("""COMPUTED_VALUE"""),1)</f>
        <v>1</v>
      </c>
      <c r="D23" s="0" t="str">
        <f aca="false">IFERROR(__xludf.dummyfunction("""COMPUTED_VALUE"""),"AICI202110-7-4| Presentar informe de los hallazgos a cada comité (01/05/2022 - 31/05/2022)")</f>
        <v>AICI202110-7-4| Presentar informe de los hallazgos a cada comité (01/05/2022 - 31/05/2022)</v>
      </c>
      <c r="E23" s="0" t="str">
        <f aca="false">IFERROR(__xludf.dummyfunction("""COMPUTED_VALUE"""),"No iniciado")</f>
        <v>No iniciado</v>
      </c>
      <c r="F23" s="0" t="str">
        <f aca="false">IFERROR(__xludf.dummyfunction("""COMPUTED_VALUE"""),"No iniciado")</f>
        <v>No iniciado</v>
      </c>
    </row>
    <row r="24" customFormat="false" ht="14.25" hidden="false" customHeight="false" outlineLevel="0" collapsed="false">
      <c r="A24" s="18" t="str">
        <f aca="false">IFERROR(MID(D24,1,FIND("|",D24)-1)&amp;"-"&amp;C24,"")</f>
        <v>AICI202110-8-1-1</v>
      </c>
      <c r="B24" s="19" t="n">
        <f aca="false">IFERROR(__xludf.dummyfunction("""COMPUTED_VALUE"""),44585)</f>
        <v>44585</v>
      </c>
      <c r="C24" s="0" t="n">
        <f aca="false">IFERROR(__xludf.dummyfunction("""COMPUTED_VALUE"""),1)</f>
        <v>1</v>
      </c>
      <c r="D24" s="0" t="str">
        <f aca="false">IFERROR(__xludf.dummyfunction("""COMPUTED_VALUE"""),"AICI202110-8-1| Realizar registro periódico y oportuno de la matriz de compromisos derivados de los comités … (15/09/2021 - 30/04/2022)")</f>
        <v>AICI202110-8-1| Realizar registro periódico y oportuno de la matriz de compromisos derivados de los comités … (15/09/2021 - 30/04/2022)</v>
      </c>
      <c r="E24" s="0" t="str">
        <f aca="false">IFERROR(__xludf.dummyfunction("""COMPUTED_VALUE"""),"No se presentan soportes de avances de esta acción. Acción en desarrollo")</f>
        <v>No se presentan soportes de avances de esta acción. Acción en desarrollo</v>
      </c>
      <c r="F24" s="0" t="str">
        <f aca="false">IFERROR(__xludf.dummyfunction("""COMPUTED_VALUE"""),"En desarrollo")</f>
        <v>En desarrollo</v>
      </c>
    </row>
    <row r="25" customFormat="false" ht="14.25" hidden="false" customHeight="false" outlineLevel="0" collapsed="false">
      <c r="A25" s="18" t="str">
        <f aca="false">IFERROR(MID(D25,1,FIND("|",D25)-1)&amp;"-"&amp;C25,"")</f>
        <v>AICI202110-8-2-1</v>
      </c>
      <c r="B25" s="19" t="n">
        <f aca="false">IFERROR(__xludf.dummyfunction("""COMPUTED_VALUE"""),44585)</f>
        <v>44585</v>
      </c>
      <c r="C25" s="0" t="n">
        <f aca="false">IFERROR(__xludf.dummyfunction("""COMPUTED_VALUE"""),1)</f>
        <v>1</v>
      </c>
      <c r="D25" s="0" t="str">
        <f aca="false">IFERROR(__xludf.dummyfunction("""COMPUTED_VALUE"""),"AICI202110-8-2| Socialización periódica y puntual de los compromisos a los responsables derivados de los comités (15/09/2021 - 30/04/2022)")</f>
        <v>AICI202110-8-2| Socialización periódica y puntual de los compromisos a los responsables derivados de los comités (15/09/2021 - 30/04/2022)</v>
      </c>
      <c r="E25" s="0" t="str">
        <f aca="false">IFERROR(__xludf.dummyfunction("""COMPUTED_VALUE"""),"No se presentan soportes de avances de esta acción. Acción en desarrollo")</f>
        <v>No se presentan soportes de avances de esta acción. Acción en desarrollo</v>
      </c>
      <c r="F25" s="0" t="str">
        <f aca="false">IFERROR(__xludf.dummyfunction("""COMPUTED_VALUE"""),"En desarrollo")</f>
        <v>En desarrollo</v>
      </c>
    </row>
    <row r="26" customFormat="false" ht="14.25" hidden="false" customHeight="false" outlineLevel="0" collapsed="false">
      <c r="A26" s="18" t="str">
        <f aca="false">IFERROR(MID(D26,1,FIND("|",D26)-1)&amp;"-"&amp;C26,"")</f>
        <v>AICI202110-8-4-1</v>
      </c>
      <c r="B26" s="19" t="n">
        <f aca="false">IFERROR(__xludf.dummyfunction("""COMPUTED_VALUE"""),44585)</f>
        <v>44585</v>
      </c>
      <c r="C26" s="0" t="n">
        <f aca="false">IFERROR(__xludf.dummyfunction("""COMPUTED_VALUE"""),1)</f>
        <v>1</v>
      </c>
      <c r="D26" s="0" t="str">
        <f aca="false">IFERROR(__xludf.dummyfunction("""COMPUTED_VALUE"""),"AICI202110-8-4| Realizar verificación de la calidad de las actas a través del seguimiento realizado por la Oficina de Calidad (15/09/2021 - 30/04/2022)")</f>
        <v>AICI202110-8-4| Realizar verificación de la calidad de las actas a través del seguimiento realizado por la Oficina de Calidad (15/09/2021 - 30/04/2022)</v>
      </c>
      <c r="E26" s="0" t="str">
        <f aca="false">IFERROR(__xludf.dummyfunction("""COMPUTED_VALUE"""),"no iniciado")</f>
        <v>no iniciado</v>
      </c>
      <c r="F26" s="0" t="str">
        <f aca="false">IFERROR(__xludf.dummyfunction("""COMPUTED_VALUE"""),"No iniciado")</f>
        <v>No iniciado</v>
      </c>
    </row>
    <row r="27" customFormat="false" ht="14.25" hidden="false" customHeight="false" outlineLevel="0" collapsed="false">
      <c r="A27" s="18" t="str">
        <f aca="false">IFERROR(MID(D27,1,FIND("|",D27)-1)&amp;"-"&amp;C27,"")</f>
        <v>AICI202110-8-3-1</v>
      </c>
      <c r="B27" s="19" t="n">
        <f aca="false">IFERROR(__xludf.dummyfunction("""COMPUTED_VALUE"""),44585)</f>
        <v>44585</v>
      </c>
      <c r="C27" s="0" t="n">
        <f aca="false">IFERROR(__xludf.dummyfunction("""COMPUTED_VALUE"""),1)</f>
        <v>1</v>
      </c>
      <c r="D27" s="0" t="str">
        <f aca="false">IFERROR(__xludf.dummyfunction("""COMPUTED_VALUE"""),"AICI202110-8-3| Seguimiento y registro del avance porcentual de cumplimiento de cada compromiso en la matriz… (15/09/2021 - 30/04/2022)")</f>
        <v>AICI202110-8-3| Seguimiento y registro del avance porcentual de cumplimiento de cada compromiso en la matriz… (15/09/2021 - 30/04/2022)</v>
      </c>
      <c r="E27" s="0" t="str">
        <f aca="false">IFERROR(__xludf.dummyfunction("""COMPUTED_VALUE"""),"No se presentan soportes de avances de esta acción. Acción en desarrollo")</f>
        <v>No se presentan soportes de avances de esta acción. Acción en desarrollo</v>
      </c>
      <c r="F27" s="0" t="str">
        <f aca="false">IFERROR(__xludf.dummyfunction("""COMPUTED_VALUE"""),"En desarrollo")</f>
        <v>En desarrollo</v>
      </c>
    </row>
    <row r="28" customFormat="false" ht="14.25" hidden="false" customHeight="false" outlineLevel="0" collapsed="false">
      <c r="A28" s="18" t="str">
        <f aca="false">IFERROR(MID(D28,1,FIND("|",D28)-1)&amp;"-"&amp;C28,"")</f>
        <v>AICI202110-8-5-1</v>
      </c>
      <c r="B28" s="19" t="n">
        <f aca="false">IFERROR(__xludf.dummyfunction("""COMPUTED_VALUE"""),44585)</f>
        <v>44585</v>
      </c>
      <c r="C28" s="0" t="n">
        <f aca="false">IFERROR(__xludf.dummyfunction("""COMPUTED_VALUE"""),1)</f>
        <v>1</v>
      </c>
      <c r="D28" s="0" t="str">
        <f aca="false">IFERROR(__xludf.dummyfunction("""COMPUTED_VALUE"""),"AICI202110-8-5| Presentar informe de los hallazgos a cada comité (01/05/2022 - 31/05/2022)")</f>
        <v>AICI202110-8-5| Presentar informe de los hallazgos a cada comité (01/05/2022 - 31/05/2022)</v>
      </c>
      <c r="E28" s="0" t="str">
        <f aca="false">IFERROR(__xludf.dummyfunction("""COMPUTED_VALUE"""),"No iniciado")</f>
        <v>No iniciado</v>
      </c>
      <c r="F28" s="0" t="str">
        <f aca="false">IFERROR(__xludf.dummyfunction("""COMPUTED_VALUE"""),"No iniciado")</f>
        <v>No iniciado</v>
      </c>
    </row>
    <row r="29" customFormat="false" ht="14.25" hidden="false" customHeight="false" outlineLevel="0" collapsed="false">
      <c r="A29" s="18" t="str">
        <f aca="false">IFERROR(MID(D29,1,FIND("|",D29)-1)&amp;"-"&amp;C29,"")</f>
        <v>AICI202110-9-1-1</v>
      </c>
      <c r="B29" s="19" t="n">
        <f aca="false">IFERROR(__xludf.dummyfunction("""COMPUTED_VALUE"""),44585)</f>
        <v>44585</v>
      </c>
      <c r="C29" s="0" t="n">
        <f aca="false">IFERROR(__xludf.dummyfunction("""COMPUTED_VALUE"""),1)</f>
        <v>1</v>
      </c>
      <c r="D29" s="0" t="str">
        <f aca="false">IFERROR(__xludf.dummyfunction("""COMPUTED_VALUE"""),"AICI202110-9-1| Socializar el Instructivo para la Gestión de los Comités Institucionales ES-GC-I-16 … (15/09/2021 - 31/12/2021)")</f>
        <v>AICI202110-9-1| Socializar el Instructivo para la Gestión de los Comités Institucionales ES-GC-I-16 … (15/09/2021 - 31/12/2021)</v>
      </c>
      <c r="E29" s="0" t="str">
        <f aca="false">IFERROR(__xludf.dummyfunction("""COMPUTED_VALUE"""),"Se socializó el documento   Instructivo para la Gestión de los Comités Institucionales ES-GC-I-16. versión 3 del 16/09/2021   en la sesión ordinaria del comité de historias clínicas del mes de octubre 2021 realizada el 28/10/2021.    Se adjunta acta del c"&amp;"omité y presentación ver pg 38. No se reciben  soportes de socialización realizada por los otros comités. Acción atrasada.  Se verifica acta, no se puede subir al drive el archivo porque es muy pesado.")</f>
        <v>Se socializó el documento   Instructivo para la Gestión de los Comités Institucionales ES-GC-I-16. versión 3 del 16/09/2021   en la sesión ordinaria del comité de historias clínicas del mes de octubre 2021 realizada el 28/10/2021.    Se adjunta acta del comité y presentación ver pg 38. No se reciben  soportes de socialización realizada por los otros comités. Acción atrasada.  Se verifica acta, no se puede subir al drive el archivo porque es muy pesado.</v>
      </c>
      <c r="F29" s="0" t="str">
        <f aca="false">IFERROR(__xludf.dummyfunction("""COMPUTED_VALUE"""),"Atrasado")</f>
        <v>Atrasado</v>
      </c>
    </row>
    <row r="30" customFormat="false" ht="14.25" hidden="false" customHeight="false" outlineLevel="0" collapsed="false">
      <c r="A30" s="18" t="str">
        <f aca="false">IFERROR(MID(D30,1,FIND("|",D30)-1)&amp;"-"&amp;C30,"")</f>
        <v>AICI202110-9-2-1</v>
      </c>
      <c r="B30" s="19" t="n">
        <f aca="false">IFERROR(__xludf.dummyfunction("""COMPUTED_VALUE"""),44585)</f>
        <v>44585</v>
      </c>
      <c r="C30" s="0" t="n">
        <f aca="false">IFERROR(__xludf.dummyfunction("""COMPUTED_VALUE"""),1)</f>
        <v>1</v>
      </c>
      <c r="D30" s="0" t="str">
        <f aca="false">IFERROR(__xludf.dummyfunction("""COMPUTED_VALUE"""),"AICI202110-9-2| elaboración y presentación del informe ejecutivo anual en la primera reunión del año de cada comité (01/02/2022 - 28/02/2022)")</f>
        <v>AICI202110-9-2| elaboración y presentación del informe ejecutivo anual en la primera reunión del año de cada comité (01/02/2022 - 28/02/2022)</v>
      </c>
      <c r="E30" s="0" t="str">
        <f aca="false">IFERROR(__xludf.dummyfunction("""COMPUTED_VALUE"""),"NO iniciado")</f>
        <v>NO iniciado</v>
      </c>
      <c r="F30" s="0" t="str">
        <f aca="false">IFERROR(__xludf.dummyfunction("""COMPUTED_VALUE"""),"No iniciado")</f>
        <v>No iniciado</v>
      </c>
    </row>
    <row r="31" customFormat="false" ht="14.25" hidden="false" customHeight="false" outlineLevel="0" collapsed="false">
      <c r="A31" s="18" t="str">
        <f aca="false">IFERROR(MID(D31,1,FIND("|",D31)-1)&amp;"-"&amp;C31,"")</f>
        <v>AICI202110-9-3-1</v>
      </c>
      <c r="B31" s="19" t="n">
        <f aca="false">IFERROR(__xludf.dummyfunction("""COMPUTED_VALUE"""),44585)</f>
        <v>44585</v>
      </c>
      <c r="C31" s="0" t="n">
        <f aca="false">IFERROR(__xludf.dummyfunction("""COMPUTED_VALUE"""),1)</f>
        <v>1</v>
      </c>
      <c r="D31" s="0" t="str">
        <f aca="false">IFERROR(__xludf.dummyfunction("""COMPUTED_VALUE"""),"AICI202110-9-3| Remisión del informe a gestión de calidad para consolidación, análisis y recomendaciones … (01/02/2022 - 28/02/2022)")</f>
        <v>AICI202110-9-3| Remisión del informe a gestión de calidad para consolidación, análisis y recomendaciones … (01/02/2022 - 28/02/2022)</v>
      </c>
      <c r="E31" s="0" t="str">
        <f aca="false">IFERROR(__xludf.dummyfunction("""COMPUTED_VALUE"""),"No iniciado")</f>
        <v>No iniciado</v>
      </c>
      <c r="F31" s="0" t="str">
        <f aca="false">IFERROR(__xludf.dummyfunction("""COMPUTED_VALUE"""),"No iniciado")</f>
        <v>No iniciado</v>
      </c>
    </row>
    <row r="32" customFormat="false" ht="14.25" hidden="false" customHeight="false" outlineLevel="0" collapsed="false">
      <c r="A32" s="18" t="str">
        <f aca="false">IFERROR(MID(D32,1,FIND("|",D32)-1)&amp;"-"&amp;C32,"")</f>
        <v>AICI202110-9-4-1</v>
      </c>
      <c r="B32" s="19" t="n">
        <f aca="false">IFERROR(__xludf.dummyfunction("""COMPUTED_VALUE"""),44585)</f>
        <v>44585</v>
      </c>
      <c r="C32" s="0" t="n">
        <f aca="false">IFERROR(__xludf.dummyfunction("""COMPUTED_VALUE"""),1)</f>
        <v>1</v>
      </c>
      <c r="D32" s="0" t="str">
        <f aca="false">IFERROR(__xludf.dummyfunction("""COMPUTED_VALUE"""),"AICI202110-9-4| Elaboración y presentación de informe consolidado que incluya análisis y recomendaciones ... (01/02/2022 - 28/02/2022)")</f>
        <v>AICI202110-9-4| Elaboración y presentación de informe consolidado que incluya análisis y recomendaciones ... (01/02/2022 - 28/02/2022)</v>
      </c>
      <c r="E32" s="0" t="str">
        <f aca="false">IFERROR(__xludf.dummyfunction("""COMPUTED_VALUE"""),"No iniciado")</f>
        <v>No iniciado</v>
      </c>
      <c r="F32" s="0" t="str">
        <f aca="false">IFERROR(__xludf.dummyfunction("""COMPUTED_VALUE"""),"No iniciado")</f>
        <v>No iniciado</v>
      </c>
    </row>
    <row r="33" customFormat="false" ht="14.25" hidden="false" customHeight="false" outlineLevel="0" collapsed="false">
      <c r="A33" s="18" t="str">
        <f aca="false">IFERROR(MID(D33,1,FIND("|",D33)-1)&amp;"-"&amp;C33,"")</f>
        <v>AICI202110-10-2-1</v>
      </c>
      <c r="B33" s="19" t="n">
        <f aca="false">IFERROR(__xludf.dummyfunction("""COMPUTED_VALUE"""),44585)</f>
        <v>44585</v>
      </c>
      <c r="C33" s="0" t="n">
        <f aca="false">IFERROR(__xludf.dummyfunction("""COMPUTED_VALUE"""),1)</f>
        <v>1</v>
      </c>
      <c r="D33" s="0" t="str">
        <f aca="false">IFERROR(__xludf.dummyfunction("""COMPUTED_VALUE"""),"AICI202110-10-2| Socializar el Instructivo para la Gestión de los Comités Institucionales ES-GC-I-16 … (15/09/2021 - 31/12/2021)")</f>
        <v>AICI202110-10-2| Socializar el Instructivo para la Gestión de los Comités Institucionales ES-GC-I-16 … (15/09/2021 - 31/12/2021)</v>
      </c>
      <c r="E33" s="0" t="str">
        <f aca="false">IFERROR(__xludf.dummyfunction("""COMPUTED_VALUE"""),"Se socializó el documento   Instructivo para la Gestión de los Comités Institucionales ES-GC-I-16. versión 3 del 16/09/2021   en la sesión ordinaria del comité de historias clínicas del mes de octubre 2021 realizada el 28/10/2021.    Se adjunta acta del c"&amp;"omité y presentación ver pg 38. No se reciben  soportes de socialización realizada por los otros comités. Acción atrasada.  Se verifica acta, no se puede subir al drive el archivo porque es muy pesado.")</f>
        <v>Se socializó el documento   Instructivo para la Gestión de los Comités Institucionales ES-GC-I-16. versión 3 del 16/09/2021   en la sesión ordinaria del comité de historias clínicas del mes de octubre 2021 realizada el 28/10/2021.    Se adjunta acta del comité y presentación ver pg 38. No se reciben  soportes de socialización realizada por los otros comités. Acción atrasada.  Se verifica acta, no se puede subir al drive el archivo porque es muy pesado.</v>
      </c>
      <c r="F33" s="0" t="str">
        <f aca="false">IFERROR(__xludf.dummyfunction("""COMPUTED_VALUE"""),"Atrasado")</f>
        <v>Atrasado</v>
      </c>
    </row>
    <row r="34" customFormat="false" ht="14.25" hidden="false" customHeight="false" outlineLevel="0" collapsed="false">
      <c r="A34" s="18" t="str">
        <f aca="false">IFERROR(MID(D34,1,FIND("|",D34)-1)&amp;"-"&amp;C34,"")</f>
        <v>AICI202110-10-1-1</v>
      </c>
      <c r="B34" s="19" t="n">
        <f aca="false">IFERROR(__xludf.dummyfunction("""COMPUTED_VALUE"""),44585)</f>
        <v>44585</v>
      </c>
      <c r="C34" s="0" t="n">
        <f aca="false">IFERROR(__xludf.dummyfunction("""COMPUTED_VALUE"""),1)</f>
        <v>1</v>
      </c>
      <c r="D34" s="0" t="str">
        <f aca="false">IFERROR(__xludf.dummyfunction("""COMPUTED_VALUE"""),"AICI202110-10-1| Actualizar el Instructivo para la Gestión de los Comités Institucionales ES-GC-I-16 incluyendo … (15/09/2021 - 31/12/2021)")</f>
        <v>AICI202110-10-1| Actualizar el Instructivo para la Gestión de los Comités Institucionales ES-GC-I-16 incluyendo … (15/09/2021 - 31/12/2021)</v>
      </c>
      <c r="E34" s="0" t="str">
        <f aca="false">IFERROR(__xludf.dummyfunction("""COMPUTED_VALUE"""),"Se realizó por parte de la oficina de calidad la revisión y actualización del documento Instructivo para la Gestión de los Comités Institucionales ES-GC-I-16.  Se adjunta documento actualizado versión 3 del 16/09/2021. ver pg 8.  No se recibe soportes de "&amp;"los otros comités ")</f>
        <v>Se realizó por parte de la oficina de calidad la revisión y actualización del documento Instructivo para la Gestión de los Comités Institucionales ES-GC-I-16.  Se adjunta documento actualizado versión 3 del 16/09/2021. ver pg 8.  No se recibe soportes de los otros comités </v>
      </c>
      <c r="F34" s="0" t="str">
        <f aca="false">IFERROR(__xludf.dummyfunction("""COMPUTED_VALUE"""),"Atrasado")</f>
        <v>Atrasado</v>
      </c>
    </row>
    <row r="35" customFormat="false" ht="14.25" hidden="false" customHeight="false" outlineLevel="0" collapsed="false">
      <c r="A35" s="18" t="str">
        <f aca="false">IFERROR(MID(D35,1,FIND("|",D35)-1)&amp;"-"&amp;C35,"")</f>
        <v>AICI202110-10-3-1</v>
      </c>
      <c r="B35" s="19" t="n">
        <f aca="false">IFERROR(__xludf.dummyfunction("""COMPUTED_VALUE"""),44585)</f>
        <v>44585</v>
      </c>
      <c r="C35" s="0" t="n">
        <f aca="false">IFERROR(__xludf.dummyfunction("""COMPUTED_VALUE"""),1)</f>
        <v>1</v>
      </c>
      <c r="D35" s="0" t="str">
        <f aca="false">IFERROR(__xludf.dummyfunction("""COMPUTED_VALUE"""),"AICI202110-10-3| Realizar verificación del manejo y custodia del archivo de los comités a través de la … (01/01/2022 - 30/04/2022)")</f>
        <v>AICI202110-10-3| Realizar verificación del manejo y custodia del archivo de los comités a través de la … (01/01/2022 - 30/04/2022)</v>
      </c>
      <c r="E35" s="0" t="str">
        <f aca="false">IFERROR(__xludf.dummyfunction("""COMPUTED_VALUE"""),"No iniciado")</f>
        <v>No iniciado</v>
      </c>
      <c r="F35" s="0" t="str">
        <f aca="false">IFERROR(__xludf.dummyfunction("""COMPUTED_VALUE"""),"No iniciado")</f>
        <v>No iniciado</v>
      </c>
    </row>
    <row r="36" customFormat="false" ht="14.25" hidden="false" customHeight="false" outlineLevel="0" collapsed="false">
      <c r="A36" s="18" t="str">
        <f aca="false">IFERROR(MID(D36,1,FIND("|",D36)-1)&amp;"-"&amp;C36,"")</f>
        <v>AICI202110-10-4-1</v>
      </c>
      <c r="B36" s="19" t="n">
        <f aca="false">IFERROR(__xludf.dummyfunction("""COMPUTED_VALUE"""),44585)</f>
        <v>44585</v>
      </c>
      <c r="C36" s="0" t="n">
        <f aca="false">IFERROR(__xludf.dummyfunction("""COMPUTED_VALUE"""),1)</f>
        <v>1</v>
      </c>
      <c r="D36" s="0" t="str">
        <f aca="false">IFERROR(__xludf.dummyfunction("""COMPUTED_VALUE"""),"AICI202110-10-4| Presentar informe de los hallazgos a cada comité (01/05/2022 - 31/05/2022)")</f>
        <v>AICI202110-10-4| Presentar informe de los hallazgos a cada comité (01/05/2022 - 31/05/2022)</v>
      </c>
      <c r="E36" s="0" t="str">
        <f aca="false">IFERROR(__xludf.dummyfunction("""COMPUTED_VALUE"""),"No iniciado")</f>
        <v>No iniciado</v>
      </c>
      <c r="F36" s="0" t="str">
        <f aca="false">IFERROR(__xludf.dummyfunction("""COMPUTED_VALUE"""),"No iniciado")</f>
        <v>No iniciado</v>
      </c>
    </row>
    <row r="37" customFormat="false" ht="14.25" hidden="false" customHeight="false" outlineLevel="0" collapsed="false">
      <c r="A37" s="18" t="str">
        <f aca="false">IFERROR(MID(D37,1,FIND("|",D37)-1)&amp;"-"&amp;C37,"")</f>
        <v>AICI202110-1-1-2</v>
      </c>
      <c r="B37" s="19" t="n">
        <f aca="false">IFERROR(__xludf.dummyfunction("""COMPUTED_VALUE"""),44658)</f>
        <v>44658</v>
      </c>
      <c r="C37" s="0" t="n">
        <f aca="false">IFERROR(__xludf.dummyfunction("""COMPUTED_VALUE"""),2)</f>
        <v>2</v>
      </c>
      <c r="D37" s="0" t="str">
        <f aca="false">IFERROR(__xludf.dummyfunction("""COMPUTED_VALUE"""),"AICI202110-1-1| Revisión de las normatividad aplicable vigente a cada comité. (15/09/2021 - 30/11/2021)")</f>
        <v>AICI202110-1-1| Revisión de las normatividad aplicable vigente a cada comité. (15/09/2021 - 30/11/2021)</v>
      </c>
      <c r="E37" s="0" t="str">
        <f aca="false">IFERROR(__xludf.dummyfunction("""COMPUTED_VALUE"""),"Se revisan los soportes y se tiene: del comité de Comité de farmacia y terapéutica  se evidencia acta de Reunión del comité del 27 de enero donde  en el punto 4 se habla de la revisión de lineamientos, la socialización esta en el acta. 
del comité de hist"&amp;"orias clínicas  ya estaba cumplida.
del comité Materno infantil se tiene evidencia de la actualización de la resolución a la 671 de 2021 hubo revisión de la normatividad.
por parte del comité Materno perinatal se tiene evidencia de la actualización de la "&amp;"resolución a la 670 de 2021 hubo revisión de la normatividad.
el comité de transfusión sanguínea presenta el acta No. 22 de octubre de 2021 donde realizan la revisión de lineamientos y normatividad y presentan la Resolución 659 de 2021 actualizada.
El com"&amp;"ité de Trasplantes presenta la resolución 146 de marzo de 2022 ya actualizada
el comité de vigilancia epidemiologia presenta la resolución 998 de diciembre de 2021, y realiza la socialización mediante correo electrónico del 27 de diciembre.
para el comité"&amp;" de Violencia sexual se revisa el acta 9 de septiembre de 2021 donde se aborda el tema de la normatividad y criterios del comité y se  presenta la actualización a la resolución 116 de 2021.
El comité de Gestión clínica excelente y segura ya se había cumpl"&amp;"ido en el seguimiento anterior.
el comité de de control de IAAS realizó la actualización a la resolución 137 de febrero de 2022. con su respectiva revisión de normatividad.
De los demás comités no se tiene información de actualización de resoluciones  la "&amp;"normatividad. no se recibió del COPASST, docencia y servicio, ética hospitalaria, ética  investigación. Se verificaron todos los soportes no se suben porque son muy pesados están almacenados en computador juliana/C:\05 AUDITORIAS 2021\AUDITORIA COMITÉS CI"&amp;"ENTIFICOTECNICOS MAYO-JUNIO 2021\9 SEGUIMIENTOS PLAN DE MEJORA COMITES\1 PLAN DE MEJORA GENERAL DE COMITES INSTITUCIONALES\2do seg PMJ comités 2021")</f>
        <v>Se revisan los soportes y se tiene: del comité de Comité de farmacia y terapéutica  se evidencia acta de Reunión del comité del 27 de enero donde  en el punto 4 se habla de la revisión de lineamientos, la socialización esta en el acta. 
del comité de historias clínicas  ya estaba cumplida.
del comité Materno infantil se tiene evidencia de la actualización de la resolución a la 671 de 2021 hubo revisión de la normatividad.
por parte del comité Materno perinatal se tiene evidencia de la actualización de la resolución a la 670 de 2021 hubo revisión de la normatividad.
el comité de transfusión sanguínea presenta el acta No. 22 de octubre de 2021 donde realizan la revisión de lineamientos y normatividad y presentan la Resolución 659 de 2021 actualizada.
El comité de Trasplantes presenta la resolución 146 de marzo de 2022 ya actualizada
el comité de vigilancia epidemiologia presenta la resolución 998 de diciembre de 2021, y realiza la socialización mediante correo electrónico del 27 de diciembre.
para el comité de Violencia sexual se revisa el acta 9 de septiembre de 2021 donde se aborda el tema de la normatividad y criterios del comité y se  presenta la actualización a la resolución 116 de 2021.
El comité de Gestión clínica excelente y segura ya se había cumplido en el seguimiento anterior.
el comité de de control de IAAS realizó la actualización a la resolución 137 de febrero de 2022. con su respectiva revisión de normatividad.
De los demás comités no se tiene información de actualización de resoluciones  la normatividad. no se recibió del COPASST, docencia y servicio, ética hospitalaria, ética  investigación. Se verificaron todos los soportes no se suben porque son muy pesados están almacenados en computador juliana/C:\05 AUDITORIAS 2021\AUDITORIA COMITÉS CIENTIFICOTECNICOS MAYO-JUNIO 2021\9 SEGUIMIENTOS PLAN DE MEJORA COMITES\1 PLAN DE MEJORA GENERAL DE COMITES INSTITUCIONALES\2do seg PMJ comités 2021</v>
      </c>
      <c r="F37" s="0" t="str">
        <f aca="false">IFERROR(__xludf.dummyfunction("""COMPUTED_VALUE"""),"Atrasado")</f>
        <v>Atrasado</v>
      </c>
    </row>
    <row r="38" customFormat="false" ht="14.25" hidden="false" customHeight="false" outlineLevel="0" collapsed="false">
      <c r="A38" s="18" t="str">
        <f aca="false">IFERROR(MID(D38,1,FIND("|",D38)-1)&amp;"-"&amp;C38,"")</f>
        <v>AICI202110-1-2-2</v>
      </c>
      <c r="B38" s="19" t="n">
        <f aca="false">IFERROR(__xludf.dummyfunction("""COMPUTED_VALUE"""),44658)</f>
        <v>44658</v>
      </c>
      <c r="C38" s="0" t="n">
        <f aca="false">IFERROR(__xludf.dummyfunction("""COMPUTED_VALUE"""),2)</f>
        <v>2</v>
      </c>
      <c r="D38" s="0" t="str">
        <f aca="false">IFERROR(__xludf.dummyfunction("""COMPUTED_VALUE"""),"AICI202110-1-2| Actualización de las resoluciones que lo requieran de acuerdo a la normatividad vigente. (15/09/2021 - 30/11/2021)")</f>
        <v>AICI202110-1-2| Actualización de las resoluciones que lo requieran de acuerdo a la normatividad vigente. (15/09/2021 - 30/11/2021)</v>
      </c>
      <c r="E38" s="0" t="str">
        <f aca="false">IFERROR(__xludf.dummyfunction("""COMPUTED_VALUE"""),"Se revisan los soportes y se tiene: del comité de Comité de farmacia y terapéutica  se evidencia acta de Reunión del comité del 27 de enero donde  en el punto 4 se habla de la revisión de lineamientos, la socialización esta en el acta. 
del comité de hist"&amp;"orias clínicas  ya estaba cumplida.
del comité Materno infantil se tiene evidencia de la actualización de la resolución a la 671 de 2021 hubo revisión de la normatividad.
por parte del comité Materno perinatal se tiene evidencia de la actualización de la "&amp;"resolución a la 670 de 2021 hubo revisión de la normatividad.
el comité de transfusión sanguínea presenta el acta No. 22 de octubre de 2021 donde realizan la revisión de lineamientos y normatividad y presentan la Resolución 659 de 2021 actualizada.
El com"&amp;"ité de Trasplantes presenta la resolución 146 de marzo de 2022 ya actualizada
el comité de vigilancia epidemiologia presenta la resolución 998 de diciembre de 2021, y realiza la socialización mediante correo electrónico del 27 de diciembre.
para el comité"&amp;" de Violencia sexual se revisa el acta 9 de septiembre de 2021 donde se aborda el tema de la normatividad y criterios del comité y se  presenta la actualización a la resolución 116 de 2021.
El comité de Gestión clínica excelente y segura ya se había cumpl"&amp;"ido en el seguimiento anterior.
el comité de de control de IAAS realizó la actualización a la resolución 137 de febrero de 2022. con su respectiva revisión de normatividad.
De los demás comités no se tiene información de actualización de resoluciones  la "&amp;"normatividad. no se recibió del COPASST, docencia y servicio, ética hospitalaria, ética  investigación. Se verificaron todos los soportes no se suben porque son muy pesados están almacenados en computador juliana/C:\05 AUDITORIAS 2021\AUDITORIA COMITÉS CI"&amp;"ENTIFICOTECNICOS MAYO-JUNIO 2021\9 SEGUIMIENTOS PLAN DE MEJORA COMITES\1 PLAN DE MEJORA GENERAL DE COMITES INSTITUCIONALES\2do seg PMJ comités 2021")</f>
        <v>Se revisan los soportes y se tiene: del comité de Comité de farmacia y terapéutica  se evidencia acta de Reunión del comité del 27 de enero donde  en el punto 4 se habla de la revisión de lineamientos, la socialización esta en el acta. 
del comité de historias clínicas  ya estaba cumplida.
del comité Materno infantil se tiene evidencia de la actualización de la resolución a la 671 de 2021 hubo revisión de la normatividad.
por parte del comité Materno perinatal se tiene evidencia de la actualización de la resolución a la 670 de 2021 hubo revisión de la normatividad.
el comité de transfusión sanguínea presenta el acta No. 22 de octubre de 2021 donde realizan la revisión de lineamientos y normatividad y presentan la Resolución 659 de 2021 actualizada.
El comité de Trasplantes presenta la resolución 146 de marzo de 2022 ya actualizada
el comité de vigilancia epidemiologia presenta la resolución 998 de diciembre de 2021, y realiza la socialización mediante correo electrónico del 27 de diciembre.
para el comité de Violencia sexual se revisa el acta 9 de septiembre de 2021 donde se aborda el tema de la normatividad y criterios del comité y se  presenta la actualización a la resolución 116 de 2021.
El comité de Gestión clínica excelente y segura ya se había cumplido en el seguimiento anterior.
el comité de de control de IAAS realizó la actualización a la resolución 137 de febrero de 2022. con su respectiva revisión de normatividad.
De los demás comités no se tiene información de actualización de resoluciones  la normatividad. no se recibió del COPASST, docencia y servicio, ética hospitalaria, ética  investigación. Se verificaron todos los soportes no se suben porque son muy pesados están almacenados en computador juliana/C:\05 AUDITORIAS 2021\AUDITORIA COMITÉS CIENTIFICOTECNICOS MAYO-JUNIO 2021\9 SEGUIMIENTOS PLAN DE MEJORA COMITES\1 PLAN DE MEJORA GENERAL DE COMITES INSTITUCIONALES\2do seg PMJ comités 2021</v>
      </c>
      <c r="F38" s="0" t="str">
        <f aca="false">IFERROR(__xludf.dummyfunction("""COMPUTED_VALUE"""),"Atrasado")</f>
        <v>Atrasado</v>
      </c>
    </row>
    <row r="39" customFormat="false" ht="14.25" hidden="false" customHeight="false" outlineLevel="0" collapsed="false">
      <c r="A39" s="18" t="str">
        <f aca="false">IFERROR(MID(D39,1,FIND("|",D39)-1)&amp;"-"&amp;C39,"")</f>
        <v>AICI202110-1-3-2</v>
      </c>
      <c r="B39" s="19" t="n">
        <f aca="false">IFERROR(__xludf.dummyfunction("""COMPUTED_VALUE"""),44658)</f>
        <v>44658</v>
      </c>
      <c r="C39" s="0" t="n">
        <f aca="false">IFERROR(__xludf.dummyfunction("""COMPUTED_VALUE"""),2)</f>
        <v>2</v>
      </c>
      <c r="D39" s="0" t="str">
        <f aca="false">IFERROR(__xludf.dummyfunction("""COMPUTED_VALUE"""),"AICI202110-1-3| Socialización de las resoluciones actualizadas. (15/09/2021 - 31/12/2021)")</f>
        <v>AICI202110-1-3| Socialización de las resoluciones actualizadas. (15/09/2021 - 31/12/2021)</v>
      </c>
      <c r="E39" s="0" t="str">
        <f aca="false">IFERROR(__xludf.dummyfunction("""COMPUTED_VALUE"""),"Se revisan los soportes y se tiene: del comité de Comité de farmacia y terapéutica  se evidencia acta de Reunión del comité del 27 de enero donde  en el punto 4 se habla de la revisión de lineamientos, la socialización esta en el acta. 
del comité de hist"&amp;"orias clínicas  ya estaba cumplida.
del comité Materno infantil se tiene evidencia de la actualización de la resolución a la 671 de 2021 hubo revisión de la normatividad.
por parte del comité Materno perinatal se tiene evidencia de la actualización de la "&amp;"resolución a la 670 de 2021 hubo revisión de la normatividad.
el comité de transfusión sanguínea presenta el acta No. 22 de octubre de 2021 donde realizan la revisión de lineamientos y normatividad y presentan la Resolución 659 de 2021 actualizada.
El com"&amp;"ité de Trasplantes presenta la resolución 146 de marzo de 2022 ya actualizada
el comité de vigilancia epidemiologia presenta la resolución 998 de diciembre de 2021, y realiza la socialización mediante correo electrónico del 27 de diciembre.
para el comité"&amp;" de Violencia sexual se revisa el acta 9 de septiembre de 2021 donde se aborda el tema de la normatividad y criterios del comité y se  presenta la actualización a la resolución 116 de 2021.
El comité de Gestión clínica excelente y segura ya se había cumpl"&amp;"ido en el seguimiento anterior.
el comité de de control de IAAS realizó la actualización a la resolución 137 de febrero de 2022. con su respectiva revisión de normatividad.
De los demás comités no se tiene información de actualización de resoluciones  la "&amp;"normatividad. no se recibió del COPASST, docencia y servicio, ética hospitalaria, ética  investigación. Se verificaron todos los soportes no se suben porque son muy pesados están almacenados en computador juliana/C:\05 AUDITORIAS 2021\AUDITORIA COMITÉS CI"&amp;"ENTIFICOTECNICOS MAYO-JUNIO 2021\9 SEGUIMIENTOS PLAN DE MEJORA COMITES\1 PLAN DE MEJORA GENERAL DE COMITES INSTITUCIONALES\2do seg PMJ comités 2021")</f>
        <v>Se revisan los soportes y se tiene: del comité de Comité de farmacia y terapéutica  se evidencia acta de Reunión del comité del 27 de enero donde  en el punto 4 se habla de la revisión de lineamientos, la socialización esta en el acta. 
del comité de historias clínicas  ya estaba cumplida.
del comité Materno infantil se tiene evidencia de la actualización de la resolución a la 671 de 2021 hubo revisión de la normatividad.
por parte del comité Materno perinatal se tiene evidencia de la actualización de la resolución a la 670 de 2021 hubo revisión de la normatividad.
el comité de transfusión sanguínea presenta el acta No. 22 de octubre de 2021 donde realizan la revisión de lineamientos y normatividad y presentan la Resolución 659 de 2021 actualizada.
El comité de Trasplantes presenta la resolución 146 de marzo de 2022 ya actualizada
el comité de vigilancia epidemiologia presenta la resolución 998 de diciembre de 2021, y realiza la socialización mediante correo electrónico del 27 de diciembre.
para el comité de Violencia sexual se revisa el acta 9 de septiembre de 2021 donde se aborda el tema de la normatividad y criterios del comité y se  presenta la actualización a la resolución 116 de 2021.
El comité de Gestión clínica excelente y segura ya se había cumplido en el seguimiento anterior.
el comité de de control de IAAS realizó la actualización a la resolución 137 de febrero de 2022. con su respectiva revisión de normatividad.
De los demás comités no se tiene información de actualización de resoluciones  la normatividad. no se recibió del COPASST, docencia y servicio, ética hospitalaria, ética  investigación. Se verificaron todos los soportes no se suben porque son muy pesados están almacenados en computador juliana/C:\05 AUDITORIAS 2021\AUDITORIA COMITÉS CIENTIFICOTECNICOS MAYO-JUNIO 2021\9 SEGUIMIENTOS PLAN DE MEJORA COMITES\1 PLAN DE MEJORA GENERAL DE COMITES INSTITUCIONALES\2do seg PMJ comités 2021</v>
      </c>
      <c r="F39" s="0" t="str">
        <f aca="false">IFERROR(__xludf.dummyfunction("""COMPUTED_VALUE"""),"Atrasado")</f>
        <v>Atrasado</v>
      </c>
    </row>
    <row r="40" customFormat="false" ht="14.25" hidden="false" customHeight="false" outlineLevel="0" collapsed="false">
      <c r="A40" s="18" t="str">
        <f aca="false">IFERROR(MID(D40,1,FIND("|",D40)-1)&amp;"-"&amp;C40,"")</f>
        <v>AICI202110-2-1-2</v>
      </c>
      <c r="B40" s="19" t="n">
        <f aca="false">IFERROR(__xludf.dummyfunction("""COMPUTED_VALUE"""),44658)</f>
        <v>44658</v>
      </c>
      <c r="C40" s="0" t="n">
        <f aca="false">IFERROR(__xludf.dummyfunction("""COMPUTED_VALUE"""),2)</f>
        <v>2</v>
      </c>
      <c r="D40" s="0" t="str">
        <f aca="false">IFERROR(__xludf.dummyfunction("""COMPUTED_VALUE"""),"AICI202110-2-1| Revisión de las funciones de los miembros de los comités contenidas en las resoluciones vigentes (15/09/2021 - 30/11/2021)")</f>
        <v>AICI202110-2-1| Revisión de las funciones de los miembros de los comités contenidas en las resoluciones vigentes (15/09/2021 - 30/11/2021)</v>
      </c>
      <c r="E40" s="0" t="str">
        <f aca="false">IFERROR(__xludf.dummyfunction("""COMPUTED_VALUE"""),"Se revisan los soportes y se tiene: del comité de Comité de farmacia y terapéutica  se evidencia acta de Reunión del comité del 27 de enero donde  en el punto 4 se habla de la revisión de lineamientos, la socialización esta en el acta. 
del comité de hist"&amp;"orias clínicas  ya estaba cumplida.
del comité Materno infantil se tiene evidencia de la actualización de la resolución a la 671 de 2021 hubo revisión de la normatividad y funciones
por parte del comité Materno perinatal se tiene evidencia de la actualiza"&amp;"ción de la resolución a la 670 de 2021 hubo revisión de la normatividad y funciones
el comité de transfusión sanguínea presenta el acta No. 22 de octubre de 2021 donde realizan la revisión de lineamientos, normatividad y funciones y presentan la Resolució"&amp;"n 659 de 2021 actualizada.
El comité de Trasplantes presenta la resolución 146 de marzo de 2022 ya actualizada
el comité de vigilancia epidemiologia presenta la resolución 998 de diciembre de 2021, y realiza la socialización mediante correo electrónico de"&amp;"l 27 de diciembre.
para el comité de Violencia sexual se revisa el acta 9 de septiembre de 2021 donde se aborda el tema de la normatividad, funciones y criterios del comité y se  presenta la actualización a la resolución 116 de 2021.
El comité de Gestión "&amp;"clínica excelente y segura ya se había cumplido en el seguimiento anterior.
el comité de de control de IAAS realizó la actualización a la resolución 137 de febrero de 2022. con su respectiva revisión de normatividad y funciones
De los demás comités no se "&amp;"tiene información de actualización de resoluciones  la normatividad y funciones no se recibió del COPASST, docencia y servicio, ética hospitalaria. 
Se verificaron todos los soportes no se suben porque son muy pesados están almacenados en computador julia"&amp;"na/C:\05 AUDITORIAS 2021\AUDITORIA COMITÉS CIENTIFICOTECNICOS MAYO-JUNIO 2021\9 SEGUIMIENTOS PLAN DE MEJORA COMITES\1 PLAN DE MEJORA GENERAL DE COMITES INSTITUCIONALES\2do seg PMJ comités 2021")</f>
        <v>Se revisan los soportes y se tiene: del comité de Comité de farmacia y terapéutica  se evidencia acta de Reunión del comité del 27 de enero donde  en el punto 4 se habla de la revisión de lineamientos, la socialización esta en el acta. 
del comité de historias clínicas  ya estaba cumplida.
del comité Materno infantil se tiene evidencia de la actualización de la resolución a la 671 de 2021 hubo revisión de la normatividad y funciones
por parte del comité Materno perinatal se tiene evidencia de la actualización de la resolución a la 670 de 2021 hubo revisión de la normatividad y funciones
el comité de transfusión sanguínea presenta el acta No. 22 de octubre de 2021 donde realizan la revisión de lineamientos, normatividad y funciones y presentan la Resolución 659 de 2021 actualizada.
El comité de Trasplantes presenta la resolución 146 de marzo de 2022 ya actualizada
el comité de vigilancia epidemiologia presenta la resolución 998 de diciembre de 2021, y realiza la socialización mediante correo electrónico del 27 de diciembre.
para el comité de Violencia sexual se revisa el acta 9 de septiembre de 2021 donde se aborda el tema de la normatividad, funciones y criterios del comité y se  presenta la actualización a la resolución 116 de 2021.
El comité de Gestión clínica excelente y segura ya se había cumplido en el seguimiento anterior.
el comité de de control de IAAS realizó la actualización a la resolución 137 de febrero de 2022. con su respectiva revisión de normatividad y funciones
De los demás comités no se tiene información de actualización de resoluciones  la normatividad y funciones no se recibió del COPASST, docencia y servicio, ética hospitalaria. 
Se verificaron todos los soportes no se suben porque son muy pesados están almacenados en computador juliana/C:\05 AUDITORIAS 2021\AUDITORIA COMITÉS CIENTIFICOTECNICOS MAYO-JUNIO 2021\9 SEGUIMIENTOS PLAN DE MEJORA COMITES\1 PLAN DE MEJORA GENERAL DE COMITES INSTITUCIONALES\2do seg PMJ comités 2021</v>
      </c>
      <c r="F40" s="0" t="str">
        <f aca="false">IFERROR(__xludf.dummyfunction("""COMPUTED_VALUE"""),"Atrasado")</f>
        <v>Atrasado</v>
      </c>
    </row>
    <row r="41" customFormat="false" ht="14.25" hidden="false" customHeight="false" outlineLevel="0" collapsed="false">
      <c r="A41" s="18" t="str">
        <f aca="false">IFERROR(MID(D41,1,FIND("|",D41)-1)&amp;"-"&amp;C41,"")</f>
        <v>AICI202110-2-2-2</v>
      </c>
      <c r="B41" s="19" t="n">
        <f aca="false">IFERROR(__xludf.dummyfunction("""COMPUTED_VALUE"""),44658)</f>
        <v>44658</v>
      </c>
      <c r="C41" s="0" t="n">
        <f aca="false">IFERROR(__xludf.dummyfunction("""COMPUTED_VALUE"""),2)</f>
        <v>2</v>
      </c>
      <c r="D41" s="0" t="str">
        <f aca="false">IFERROR(__xludf.dummyfunction("""COMPUTED_VALUE"""),"AICI202110-2-2| Actualización de las resoluciones que lo requieran de acuerdo a la revisión realizada. (15/09/2021 - 30/11/2021)")</f>
        <v>AICI202110-2-2| Actualización de las resoluciones que lo requieran de acuerdo a la revisión realizada. (15/09/2021 - 30/11/2021)</v>
      </c>
      <c r="E41" s="0" t="str">
        <f aca="false">IFERROR(__xludf.dummyfunction("""COMPUTED_VALUE"""),"Se revisan los soportes y se tiene: del comité de Comité de farmacia y terapéutica  se evidencia acta de Reunión del comité del 27 de enero donde  en el punto 4 se habla de la revisión de lineamientos, la socialización esta en el acta. 
del comité de hist"&amp;"orias clínicas  ya estaba cumplida.
del comité Materno infantil se tiene evidencia de la actualización de la resolución a la 671 de 2021 hubo revisión de la normatividad y funciones
por parte del comité Materno perinatal se tiene evidencia de la actualiza"&amp;"ción de la resolución a la 670 de 2021 hubo revisión de la normatividad y funciones
el comité de transfusión sanguínea presenta el acta No. 22 de octubre de 2021 donde realizan la revisión de lineamientos, normatividad y funciones y presentan la Resolució"&amp;"n 659 de 2021 actualizada.
El comité de Trasplantes presenta la resolución 146 de marzo de 2022 ya actualizada
el comité de vigilancia epidemiologia presenta la resolución 998 de diciembre de 2021, y realiza la socialización mediante correo electrónico de"&amp;"l 27 de diciembre.
para el comité de Violencia sexual se revisa el acta 9 de septiembre de 2021 donde se aborda el tema de la normatividad, funciones y criterios del comité y se  presenta la actualización a la resolución 116 de 2021.
El comité de Gestión "&amp;"clínica excelente y segura ya se había cumplido en el seguimiento anterior.
el comité de de control de IAAS realizó la actualización a la resolución 137 de febrero de 2022. con su respectiva revisión de normatividad y funciones
De los demás comités no se "&amp;"tiene información de actualización de resoluciones  la normatividad y funciones no se recibió del COPASST, docencia y servicio, ética hospitalaria. 
Se verificaron todos los soportes no se suben porque son muy pesados están almacenados en computador julia"&amp;"na/C:\05 AUDITORIAS 2021\AUDITORIA COMITÉS CIENTIFICOTECNICOS MAYO-JUNIO 2021\9 SEGUIMIENTOS PLAN DE MEJORA COMITES\1 PLAN DE MEJORA GENERAL DE COMITES INSTITUCIONALES\2do seg PMJ comités 2021")</f>
        <v>Se revisan los soportes y se tiene: del comité de Comité de farmacia y terapéutica  se evidencia acta de Reunión del comité del 27 de enero donde  en el punto 4 se habla de la revisión de lineamientos, la socialización esta en el acta. 
del comité de historias clínicas  ya estaba cumplida.
del comité Materno infantil se tiene evidencia de la actualización de la resolución a la 671 de 2021 hubo revisión de la normatividad y funciones
por parte del comité Materno perinatal se tiene evidencia de la actualización de la resolución a la 670 de 2021 hubo revisión de la normatividad y funciones
el comité de transfusión sanguínea presenta el acta No. 22 de octubre de 2021 donde realizan la revisión de lineamientos, normatividad y funciones y presentan la Resolución 659 de 2021 actualizada.
El comité de Trasplantes presenta la resolución 146 de marzo de 2022 ya actualizada
el comité de vigilancia epidemiologia presenta la resolución 998 de diciembre de 2021, y realiza la socialización mediante correo electrónico del 27 de diciembre.
para el comité de Violencia sexual se revisa el acta 9 de septiembre de 2021 donde se aborda el tema de la normatividad, funciones y criterios del comité y se  presenta la actualización a la resolución 116 de 2021.
El comité de Gestión clínica excelente y segura ya se había cumplido en el seguimiento anterior.
el comité de de control de IAAS realizó la actualización a la resolución 137 de febrero de 2022. con su respectiva revisión de normatividad y funciones
De los demás comités no se tiene información de actualización de resoluciones  la normatividad y funciones no se recibió del COPASST, docencia y servicio, ética hospitalaria. 
Se verificaron todos los soportes no se suben porque son muy pesados están almacenados en computador juliana/C:\05 AUDITORIAS 2021\AUDITORIA COMITÉS CIENTIFICOTECNICOS MAYO-JUNIO 2021\9 SEGUIMIENTOS PLAN DE MEJORA COMITES\1 PLAN DE MEJORA GENERAL DE COMITES INSTITUCIONALES\2do seg PMJ comités 2021</v>
      </c>
      <c r="F41" s="0" t="str">
        <f aca="false">IFERROR(__xludf.dummyfunction("""COMPUTED_VALUE"""),"Atrasado")</f>
        <v>Atrasado</v>
      </c>
    </row>
    <row r="42" customFormat="false" ht="14.25" hidden="false" customHeight="false" outlineLevel="0" collapsed="false">
      <c r="A42" s="18" t="str">
        <f aca="false">IFERROR(MID(D42,1,FIND("|",D42)-1)&amp;"-"&amp;C42,"")</f>
        <v>AICI202110-2-3-2</v>
      </c>
      <c r="B42" s="19" t="n">
        <f aca="false">IFERROR(__xludf.dummyfunction("""COMPUTED_VALUE"""),44658)</f>
        <v>44658</v>
      </c>
      <c r="C42" s="0" t="n">
        <f aca="false">IFERROR(__xludf.dummyfunction("""COMPUTED_VALUE"""),2)</f>
        <v>2</v>
      </c>
      <c r="D42" s="0" t="str">
        <f aca="false">IFERROR(__xludf.dummyfunction("""COMPUTED_VALUE"""),"AICI202110-2-3| Socialización de las resoluciones actualizadas (15/09/2021 - 31/12/2021)")</f>
        <v>AICI202110-2-3| Socialización de las resoluciones actualizadas (15/09/2021 - 31/12/2021)</v>
      </c>
      <c r="E42" s="0" t="str">
        <f aca="false">IFERROR(__xludf.dummyfunction("""COMPUTED_VALUE"""),"Se revisan soportes de socializaciones así:  Comité de farmacia y terapéutica  se evidencia acta de Reunión del comité del 27 de enero donde  en el punto 4 se habla de la revisión de lineamientos, la socialización esta en el acta. 
del comité de historias"&amp;" clínicas  ya estaba cumplida.
del comité Materno infantil se tiene evidencia de la actualización y socialización de la resolución a la 671 de 2021 hubo revisión de la normatividad y funciones
por parte del comité Materno perinatal se tiene evidencia de l"&amp;"a actualización de la resolución a la 670 de 2021 hubo revisión de la normatividad y funciones
el comité de transfusión sanguínea presenta el acta No. 22 de octubre de 2021 donde realizan la revisión de lineamientos, normatividad y funciones y presentan l"&amp;"a Resolución 659 de 2021 actualizada.
El comité de Trasplantes presenta la resolución 146 de marzo de 2022 ya actualizada
el comité de vigilancia epidemiologia presenta la resolución 998 de diciembre de 2021, y realiza la socialización mediante correo ele"&amp;"ctrónico del 27 de diciembre.
para el comité de Violencia sexual se revisa el acta 9 de septiembre de 2021 donde se aborda el tema de la normatividad, funciones y criterios del comité y se  presenta la actualización y socialización de la resolución 116 de"&amp;" 2021.
El comité de Gestión clínica excelente y segura ya se había cumplido en el seguimiento anterior.
el comité de de control de IAAS realizó la actualización a la resolución 137 de febrero de 2022. con su respectiva revisión de normatividad funciones y"&amp;" socialización.
De los demás comités no se tiene información de actualización de resoluciones  la normatividad y funciones no se recibió del COPASST, docencia y servicio, ética hospitalaria. 
Se verificaron todos los soportes no se suben porque son muy pe"&amp;"sados están almacenados en computador juliana/C:\05 AUDITORIAS 2021\AUDITORIA COMITÉS CIENTIFICOTECNICOS MAYO-JUNIO 2021\9 SEGUIMIENTOS PLAN DE MEJORA COMITES\1 PLAN DE MEJORA GENERAL DE COMITES INSTITUCIONALES\2do seg PMJ comités 2021")</f>
        <v>Se revisan soportes de socializaciones así:  Comité de farmacia y terapéutica  se evidencia acta de Reunión del comité del 27 de enero donde  en el punto 4 se habla de la revisión de lineamientos, la socialización esta en el acta. 
del comité de historias clínicas  ya estaba cumplida.
del comité Materno infantil se tiene evidencia de la actualización y socialización de la resolución a la 671 de 2021 hubo revisión de la normatividad y funciones
por parte del comité Materno perinatal se tiene evidencia de la actualización de la resolución a la 670 de 2021 hubo revisión de la normatividad y funciones
el comité de transfusión sanguínea presenta el acta No. 22 de octubre de 2021 donde realizan la revisión de lineamientos, normatividad y funciones y presentan la Resolución 659 de 2021 actualizada.
El comité de Trasplantes presenta la resolución 146 de marzo de 2022 ya actualizada
el comité de vigilancia epidemiologia presenta la resolución 998 de diciembre de 2021, y realiza la socialización mediante correo electrónico del 27 de diciembre.
para el comité de Violencia sexual se revisa el acta 9 de septiembre de 2021 donde se aborda el tema de la normatividad, funciones y criterios del comité y se  presenta la actualización y socialización de la resolución 116 de 2021.
El comité de Gestión clínica excelente y segura ya se había cumplido en el seguimiento anterior.
el comité de de control de IAAS realizó la actualización a la resolución 137 de febrero de 2022. con su respectiva revisión de normatividad funciones y socialización.
De los demás comités no se tiene información de actualización de resoluciones  la normatividad y funciones no se recibió del COPASST, docencia y servicio, ética hospitalaria. 
Se verificaron todos los soportes no se suben porque son muy pesados están almacenados en computador juliana/C:\05 AUDITORIAS 2021\AUDITORIA COMITÉS CIENTIFICOTECNICOS MAYO-JUNIO 2021\9 SEGUIMIENTOS PLAN DE MEJORA COMITES\1 PLAN DE MEJORA GENERAL DE COMITES INSTITUCIONALES\2do seg PMJ comités 2021</v>
      </c>
      <c r="F42" s="0" t="str">
        <f aca="false">IFERROR(__xludf.dummyfunction("""COMPUTED_VALUE"""),"Atrasado")</f>
        <v>Atrasado</v>
      </c>
    </row>
    <row r="43" customFormat="false" ht="14.25" hidden="false" customHeight="false" outlineLevel="0" collapsed="false">
      <c r="A43" s="18" t="str">
        <f aca="false">IFERROR(MID(D43,1,FIND("|",D43)-1)&amp;"-"&amp;C43,"")</f>
        <v>AICI202110-3-1-2</v>
      </c>
      <c r="B43" s="19" t="n">
        <f aca="false">IFERROR(__xludf.dummyfunction("""COMPUTED_VALUE"""),44658)</f>
        <v>44658</v>
      </c>
      <c r="C43" s="0" t="n">
        <f aca="false">IFERROR(__xludf.dummyfunction("""COMPUTED_VALUE"""),2)</f>
        <v>2</v>
      </c>
      <c r="D43" s="0" t="str">
        <f aca="false">IFERROR(__xludf.dummyfunction("""COMPUTED_VALUE"""),"AICI202110-3-1| Revisión y actualización de los documentos relacionados con la gestión de los comités misionales (15/09/2021 - 30/11/2021)")</f>
        <v>AICI202110-3-1| Revisión y actualización de los documentos relacionados con la gestión de los comités misionales (15/09/2021 - 30/11/2021)</v>
      </c>
      <c r="E43" s="0" t="str">
        <f aca="false">IFERROR(__xludf.dummyfunction("""COMPUTED_VALUE"""),"Calidad adjunta el soporte del  documento. ES-GC-I-16-03-Gestión de los Comites Institucionales y el ES-GC-I-35-02-Lineamiento generales para seguimiento a compromisos derivados de auditorías, comités, unidades de análisis y protocolos de Londres. estos d"&amp;"ocumentos están en la intranet.")</f>
        <v>Calidad adjunta el soporte del  documento. ES-GC-I-16-03-Gestión de los Comites Institucionales y el ES-GC-I-35-02-Lineamiento generales para seguimiento a compromisos derivados de auditorías, comités, unidades de análisis y protocolos de Londres. estos documentos están en la intranet.</v>
      </c>
      <c r="F43" s="0" t="str">
        <f aca="false">IFERROR(__xludf.dummyfunction("""COMPUTED_VALUE"""),"Completo")</f>
        <v>Completo</v>
      </c>
      <c r="G43" s="0" t="str">
        <f aca="false">IFERROR(__xludf.dummyfunction("""COMPUTED_VALUE"""),"No")</f>
        <v>No</v>
      </c>
    </row>
    <row r="44" customFormat="false" ht="14.25" hidden="false" customHeight="false" outlineLevel="0" collapsed="false">
      <c r="A44" s="18" t="str">
        <f aca="false">IFERROR(MID(D44,1,FIND("|",D44)-1)&amp;"-"&amp;C44,"")</f>
        <v>AICI202110-3-2-2</v>
      </c>
      <c r="B44" s="19" t="n">
        <f aca="false">IFERROR(__xludf.dummyfunction("""COMPUTED_VALUE"""),44658)</f>
        <v>44658</v>
      </c>
      <c r="C44" s="0" t="n">
        <f aca="false">IFERROR(__xludf.dummyfunction("""COMPUTED_VALUE"""),2)</f>
        <v>2</v>
      </c>
      <c r="D44" s="0" t="str">
        <f aca="false">IFERROR(__xludf.dummyfunction("""COMPUTED_VALUE"""),"AICI202110-3-2| Documentar la inducción y capacitación en los lineamientos actualizados para el funcionamiento ,,, (15/09/2021 - 31/12/2021)")</f>
        <v>AICI202110-3-2| Documentar la inducción y capacitación en los lineamientos actualizados para el funcionamiento ,,, (15/09/2021 - 31/12/2021)</v>
      </c>
      <c r="E44" s="0" t="str">
        <f aca="false">IFERROR(__xludf.dummyfunction("""COMPUTED_VALUE"""),"Dentro de los soportes se encontró el SOPORTE SOCIALIZACIÓN DOCUMENTOS ACTUALIZADOS-CALIDAD  COMITES que es correos electrónico enviado a algunos lideres de  área misional y administrativa, sin embargo no se evidencias soportes de socializaciones de estos"&amp;" documentos a los demás integrantes de los comités.
El comité de Materno infantil y materno perinatal hizo socialización a los lideres, pero no a los demás integrantes del comité.
el comité de historias clínicas ya realizó la socialización de estos docume"&amp;"ntos para el seguimiento anterior.")</f>
        <v>Dentro de los soportes se encontró el SOPORTE SOCIALIZACIÓN DOCUMENTOS ACTUALIZADOS-CALIDAD  COMITES que es correos electrónico enviado a algunos lideres de  área misional y administrativa, sin embargo no se evidencias soportes de socializaciones de estos documentos a los demás integrantes de los comités.
El comité de Materno infantil y materno perinatal hizo socialización a los lideres, pero no a los demás integrantes del comité.
el comité de historias clínicas ya realizó la socialización de estos documentos para el seguimiento anterior.</v>
      </c>
      <c r="F44" s="0" t="str">
        <f aca="false">IFERROR(__xludf.dummyfunction("""COMPUTED_VALUE"""),"Atrasado")</f>
        <v>Atrasado</v>
      </c>
    </row>
    <row r="45" customFormat="false" ht="14.25" hidden="false" customHeight="false" outlineLevel="0" collapsed="false">
      <c r="A45" s="18" t="str">
        <f aca="false">IFERROR(MID(D45,1,FIND("|",D45)-1)&amp;"-"&amp;C45,"")</f>
        <v>AICI202110-4-2-2</v>
      </c>
      <c r="B45" s="19" t="n">
        <f aca="false">IFERROR(__xludf.dummyfunction("""COMPUTED_VALUE"""),44658)</f>
        <v>44658</v>
      </c>
      <c r="C45" s="0" t="n">
        <f aca="false">IFERROR(__xludf.dummyfunction("""COMPUTED_VALUE"""),2)</f>
        <v>2</v>
      </c>
      <c r="D45" s="0" t="str">
        <f aca="false">IFERROR(__xludf.dummyfunction("""COMPUTED_VALUE"""),"AICI202110-4-2| Socialización del documento actualizado. (15/09/2021 - 31/12/2021)")</f>
        <v>AICI202110-4-2| Socialización del documento actualizado. (15/09/2021 - 31/12/2021)</v>
      </c>
      <c r="E45" s="0" t="str">
        <f aca="false">IFERROR(__xludf.dummyfunction("""COMPUTED_VALUE"""),"Dentro de los soportes se encontró el SOPORTE SOCIALIZACIÓN DOCUMENTOS ACTUALIZADOS-CALIDAD  COMITES que es correos electrónico enviado a algunos lideres de  área misional y administrativa, sin embargo no se evidencias soportes de socializaciones de estos"&amp;" documentos a los demás integrantes de los comités.
El comité de Materno infantil y materno perinatal hizo socialización a los lideres, pero no a los demás integrantes del comité.
el comité de historias clínicas ya realizó la socialización de estos docume"&amp;"ntos para el seguimiento anterior. Comité GCES socializó los documentos en comité de febrero 2022
ver soportes en C:\05 AUDITORIAS 2021\AUDITORIA COMITÉS CIENTIFICOTECNICOS MAYO-JUNIO 2021\9 SEGUIMIENTOS PLAN DE MEJORA COMITES\1 PLAN DE MEJORA GENERAL DE "&amp;"COMITES INSTITUCIONALES\2do seg PMJ comités 2021
")</f>
        <v>Dentro de los soportes se encontró el SOPORTE SOCIALIZACIÓN DOCUMENTOS ACTUALIZADOS-CALIDAD  COMITES que es correos electrónico enviado a algunos lideres de  área misional y administrativa, sin embargo no se evidencias soportes de socializaciones de estos documentos a los demás integrantes de los comités.
El comité de Materno infantil y materno perinatal hizo socialización a los lideres, pero no a los demás integrantes del comité.
el comité de historias clínicas ya realizó la socialización de estos documentos para el seguimiento anterior. Comité GCES socializó los documentos en comité de febrero 2022
ver soportes en C:\05 AUDITORIAS 2021\AUDITORIA COMITÉS CIENTIFICOTECNICOS MAYO-JUNIO 2021\9 SEGUIMIENTOS PLAN DE MEJORA COMITES\1 PLAN DE MEJORA GENERAL DE COMITES INSTITUCIONALES\2do seg PMJ comités 2021
</v>
      </c>
      <c r="F45" s="0" t="str">
        <f aca="false">IFERROR(__xludf.dummyfunction("""COMPUTED_VALUE"""),"Atrasado")</f>
        <v>Atrasado</v>
      </c>
    </row>
    <row r="46" customFormat="false" ht="14.25" hidden="false" customHeight="false" outlineLevel="0" collapsed="false">
      <c r="A46" s="18" t="str">
        <f aca="false">IFERROR(MID(D46,1,FIND("|",D46)-1)&amp;"-"&amp;C46,"")</f>
        <v>AICI202110-4-1-2</v>
      </c>
      <c r="B46" s="19" t="n">
        <f aca="false">IFERROR(__xludf.dummyfunction("""COMPUTED_VALUE"""),44658)</f>
        <v>44658</v>
      </c>
      <c r="C46" s="0" t="n">
        <f aca="false">IFERROR(__xludf.dummyfunction("""COMPUTED_VALUE"""),2)</f>
        <v>2</v>
      </c>
      <c r="D46" s="0" t="str">
        <f aca="false">IFERROR(__xludf.dummyfunction("""COMPUTED_VALUE"""),"AICI202110-4-1| Revisión y actualización del documento Instructivo para la Gestión de los Comités Institucionales … (15/09/2021 - 30/12/2021)")</f>
        <v>AICI202110-4-1| Revisión y actualización del documento Instructivo para la Gestión de los Comités Institucionales … (15/09/2021 - 30/12/2021)</v>
      </c>
      <c r="E46" s="0" t="str">
        <f aca="false">IFERROR(__xludf.dummyfunction("""COMPUTED_VALUE"""),"Calidad adjunta el soporte del  documento. ES-GC-I-16-03-Gestión de los Comites Institucionales y el ES-GC-I-35-02-Lineamiento generales para seguimiento a compromisos derivados de auditorías, comités, unidades de análisis y protocolos de Londres. Los doc"&amp;"umentos se encuentran en la intranet.")</f>
        <v>Calidad adjunta el soporte del  documento. ES-GC-I-16-03-Gestión de los Comites Institucionales y el ES-GC-I-35-02-Lineamiento generales para seguimiento a compromisos derivados de auditorías, comités, unidades de análisis y protocolos de Londres. Los documentos se encuentran en la intranet.</v>
      </c>
      <c r="F46" s="0" t="str">
        <f aca="false">IFERROR(__xludf.dummyfunction("""COMPUTED_VALUE"""),"Completo")</f>
        <v>Completo</v>
      </c>
      <c r="G46" s="0" t="str">
        <f aca="false">IFERROR(__xludf.dummyfunction("""COMPUTED_VALUE"""),"No")</f>
        <v>No</v>
      </c>
    </row>
    <row r="47" customFormat="false" ht="14.25" hidden="false" customHeight="false" outlineLevel="0" collapsed="false">
      <c r="A47" s="18" t="str">
        <f aca="false">IFERROR(MID(D47,1,FIND("|",D47)-1)&amp;"-"&amp;C47,"")</f>
        <v>AICI202110-4-2-2</v>
      </c>
      <c r="B47" s="19" t="n">
        <f aca="false">IFERROR(__xludf.dummyfunction("""COMPUTED_VALUE"""),44568)</f>
        <v>44568</v>
      </c>
      <c r="C47" s="0" t="n">
        <f aca="false">IFERROR(__xludf.dummyfunction("""COMPUTED_VALUE"""),2)</f>
        <v>2</v>
      </c>
      <c r="D47" s="0" t="str">
        <f aca="false">IFERROR(__xludf.dummyfunction("""COMPUTED_VALUE"""),"AICI202110-4-2| Socialización del documento actualizado. (15/09/2021 - 31/12/2021)")</f>
        <v>AICI202110-4-2| Socialización del documento actualizado. (15/09/2021 - 31/12/2021)</v>
      </c>
      <c r="E47" s="0" t="str">
        <f aca="false">IFERROR(__xludf.dummyfunction("""COMPUTED_VALUE"""),"Dentro de los soportes se encontró el SOPORTE SOCIALIZACIÓN DOCUMENTOS ACTUALIZADOS-CALIDAD  COMITES que es un correo electrónico enviado a algunos lideres de  área misional y administrativa, sin embargo no se evidencias soportes de socializaciones de est"&amp;"os documentos a los demás integrantes de los comités.
El comité de Materno infantil y materno perinatal hizo socialización a los lideres, pero no a los demás integrantes del comité.
el comité de historias clínicas ya realizó la socialización de estos docu"&amp;"mentos para el seguimiento anterior. Comité GCES socializó los documentos en comité de febrero 2022 ver soporttes en C:\05 AUDITORIAS 2021\AUDITORIA COMITÉS CIENTIFICOTECNICOS MAYO-JUNIO 2021\9 SEGUIMIENTOS PLAN DE MEJORA COMITES\1 PLAN DE MEJORA GENERAL "&amp;"DE COMITES INSTITUCIONALES\2do seg PMJ comités 2021
")</f>
        <v>Dentro de los soportes se encontró el SOPORTE SOCIALIZACIÓN DOCUMENTOS ACTUALIZADOS-CALIDAD  COMITES que es un correo electrónico enviado a algunos lideres de  área misional y administrativa, sin embargo no se evidencias soportes de socializaciones de estos documentos a los demás integrantes de los comités.
El comité de Materno infantil y materno perinatal hizo socialización a los lideres, pero no a los demás integrantes del comité.
el comité de historias clínicas ya realizó la socialización de estos documentos para el seguimiento anterior. Comité GCES socializó los documentos en comité de febrero 2022 ver soporttes en C:\05 AUDITORIAS 2021\AUDITORIA COMITÉS CIENTIFICOTECNICOS MAYO-JUNIO 2021\9 SEGUIMIENTOS PLAN DE MEJORA COMITES\1 PLAN DE MEJORA GENERAL DE COMITES INSTITUCIONALES\2do seg PMJ comités 2021
</v>
      </c>
      <c r="F47" s="0" t="str">
        <f aca="false">IFERROR(__xludf.dummyfunction("""COMPUTED_VALUE"""),"Atrasado")</f>
        <v>Atrasado</v>
      </c>
    </row>
    <row r="48" customFormat="false" ht="14.25" hidden="false" customHeight="false" outlineLevel="0" collapsed="false">
      <c r="A48" s="18" t="str">
        <f aca="false">IFERROR(MID(D48,1,FIND("|",D48)-1)&amp;"-"&amp;C48,"")</f>
        <v>AICI202110-5-1-2</v>
      </c>
      <c r="B48" s="19" t="n">
        <f aca="false">IFERROR(__xludf.dummyfunction("""COMPUTED_VALUE"""),44658)</f>
        <v>44658</v>
      </c>
      <c r="C48" s="0" t="n">
        <f aca="false">IFERROR(__xludf.dummyfunction("""COMPUTED_VALUE"""),2)</f>
        <v>2</v>
      </c>
      <c r="D48" s="0" t="str">
        <f aca="false">IFERROR(__xludf.dummyfunction("""COMPUTED_VALUE"""),"AICI202110-5-1| Revisión y actualización del documento Instructivo para la Gestión de los Comités Institucionales … (15/09/2021 - 30/12/2021)")</f>
        <v>AICI202110-5-1| Revisión y actualización del documento Instructivo para la Gestión de los Comités Institucionales … (15/09/2021 - 30/12/2021)</v>
      </c>
      <c r="E48" s="0" t="str">
        <f aca="false">IFERROR(__xludf.dummyfunction("""COMPUTED_VALUE"""),"Calidad adjunta el soporte del  documento. ES-GC-I-16-03-Gestión de los Comités Institucionales y el ES-GC-I-35-02-Lineamiento generales para seguimiento a compromisos derivados de auditorías, comités, unidades de análisis y protocolos de Londres. los doc"&amp;"umentos se encuentran en la intranet
")</f>
        <v>Calidad adjunta el soporte del  documento. ES-GC-I-16-03-Gestión de los Comités Institucionales y el ES-GC-I-35-02-Lineamiento generales para seguimiento a compromisos derivados de auditorías, comités, unidades de análisis y protocolos de Londres. los documentos se encuentran en la intranet
</v>
      </c>
      <c r="F48" s="0" t="str">
        <f aca="false">IFERROR(__xludf.dummyfunction("""COMPUTED_VALUE"""),"Completo")</f>
        <v>Completo</v>
      </c>
      <c r="G48" s="0" t="str">
        <f aca="false">IFERROR(__xludf.dummyfunction("""COMPUTED_VALUE"""),"No")</f>
        <v>No</v>
      </c>
    </row>
    <row r="49" customFormat="false" ht="14.25" hidden="false" customHeight="false" outlineLevel="0" collapsed="false">
      <c r="A49" s="18" t="str">
        <f aca="false">IFERROR(MID(D49,1,FIND("|",D49)-1)&amp;"-"&amp;C49,"")</f>
        <v>AICI202110-5-2-2</v>
      </c>
      <c r="B49" s="19" t="n">
        <f aca="false">IFERROR(__xludf.dummyfunction("""COMPUTED_VALUE"""),44658)</f>
        <v>44658</v>
      </c>
      <c r="C49" s="0" t="n">
        <f aca="false">IFERROR(__xludf.dummyfunction("""COMPUTED_VALUE"""),2)</f>
        <v>2</v>
      </c>
      <c r="D49" s="0" t="str">
        <f aca="false">IFERROR(__xludf.dummyfunction("""COMPUTED_VALUE"""),"AICI202110-5-2| Socialización de los documentos actualizados. (15/09/2021 - 30/12/2021)")</f>
        <v>AICI202110-5-2| Socialización de los documentos actualizados. (15/09/2021 - 30/12/2021)</v>
      </c>
      <c r="E49" s="0" t="str">
        <f aca="false">IFERROR(__xludf.dummyfunction("""COMPUTED_VALUE"""),"Dentro de los soportes se encontró la SOCIALIZACIÓN DOCUMENTOS ACTUALIZADOS-CALIDAD  COMITES que es un correo electrónico enviado a algunos lideres de  área misional y administrativa, sin embargo no se evidencias soportes de socialización de estos documen"&amp;"tos a los demás integrantes de los comités.
El comité de Materno infantil y materno perinatal hizo socialización a los lideres, pero no a los demás integrantes del comité.
el comité de historias clínicas ya realizó la socialización de estos documentos par"&amp;"a el seguimiento anterior.  Comité GCES socializó los documentos en comité de febrero 2022 ver soportes C:\05 AUDITORIAS 2021\AUDITORIA COMITÉS CIENTIFICOTECNICOS MAYO-JUNIO 2021\9 SEGUIMIENTOS PLAN DE MEJORA COMITES\1 PLAN DE MEJORA GENERAL DE COMITES IN"&amp;"STITUCIONALES\2do seg PMJ comités 2021")</f>
        <v>Dentro de los soportes se encontró la SOCIALIZACIÓN DOCUMENTOS ACTUALIZADOS-CALIDAD  COMITES que es un correo electrónico enviado a algunos lideres de  área misional y administrativa, sin embargo no se evidencias soportes de socialización de estos documentos a los demás integrantes de los comités.
El comité de Materno infantil y materno perinatal hizo socialización a los lideres, pero no a los demás integrantes del comité.
el comité de historias clínicas ya realizó la socialización de estos documentos para el seguimiento anterior.  Comité GCES socializó los documentos en comité de febrero 2022 ver soportes C:\05 AUDITORIAS 2021\AUDITORIA COMITÉS CIENTIFICOTECNICOS MAYO-JUNIO 2021\9 SEGUIMIENTOS PLAN DE MEJORA COMITES\1 PLAN DE MEJORA GENERAL DE COMITES INSTITUCIONALES\2do seg PMJ comités 2021</v>
      </c>
      <c r="F49" s="0" t="str">
        <f aca="false">IFERROR(__xludf.dummyfunction("""COMPUTED_VALUE"""),"Atrasado")</f>
        <v>Atrasado</v>
      </c>
    </row>
    <row r="50" customFormat="false" ht="14.25" hidden="false" customHeight="false" outlineLevel="0" collapsed="false">
      <c r="A50" s="18" t="str">
        <f aca="false">IFERROR(MID(D50,1,FIND("|",D50)-1)&amp;"-"&amp;C50,"")</f>
        <v>AICI202110-6-1-2</v>
      </c>
      <c r="B50" s="19" t="n">
        <f aca="false">IFERROR(__xludf.dummyfunction("""COMPUTED_VALUE"""),44658)</f>
        <v>44658</v>
      </c>
      <c r="C50" s="0" t="n">
        <f aca="false">IFERROR(__xludf.dummyfunction("""COMPUTED_VALUE"""),2)</f>
        <v>2</v>
      </c>
      <c r="D50" s="0" t="str">
        <f aca="false">IFERROR(__xludf.dummyfunction("""COMPUTED_VALUE"""),"AICI202110-6-1| Diligenciamiento de las actas de acuerdo a los lineamientos establecidos en el documento … (15/09/2021 - 30/04/2022)")</f>
        <v>AICI202110-6-1| Diligenciamiento de las actas de acuerdo a los lineamientos establecidos en el documento … (15/09/2021 - 30/04/2022)</v>
      </c>
      <c r="E50" s="0" t="str">
        <f aca="false">IFERROR(__xludf.dummyfunction("""COMPUTED_VALUE"""),"Se evidencia del comité GCES que presenta acta de febrero de 2022 en la cual se evidencia aplicación de todos los criterios para el adecuado diligenciamiento de las actas de los comités. En el seguimiento anterior el comité de historias clínicas ya había "&amp;"presentado soporte. los demás comités no presentan información. el comité maternoinfantil presenta soporte de diligenciamiento de actas, ajustándose estas a los requerimientos. Comité IAAS envía soportes de actas acorde ajustándose al diligenciamiento. Co"&amp;"mité farmacia envía actas con diligenciamiento ajustado.  ver soportes en C:\05 AUDITORIAS 2021\AUDITORIA COMITÉS CIENTIFICOTECNICOS MAYO-JUNIO 2021\9 SEGUIMIENTOS PLAN DE MEJORA COMITES\1 PLAN DE MEJORA GENERAL DE COMITES INSTITUCIONALES\2do seg PMJ comi"&amp;"tés 2021")</f>
        <v>Se evidencia del comité GCES que presenta acta de febrero de 2022 en la cual se evidencia aplicación de todos los criterios para el adecuado diligenciamiento de las actas de los comités. En el seguimiento anterior el comité de historias clínicas ya había presentado soporte. los demás comités no presentan información. el comité maternoinfantil presenta soporte de diligenciamiento de actas, ajustándose estas a los requerimientos. Comité IAAS envía soportes de actas acorde ajustándose al diligenciamiento. Comité farmacia envía actas con diligenciamiento ajustado.  ver soportes en C:\05 AUDITORIAS 2021\AUDITORIA COMITÉS CIENTIFICOTECNICOS MAYO-JUNIO 2021\9 SEGUIMIENTOS PLAN DE MEJORA COMITES\1 PLAN DE MEJORA GENERAL DE COMITES INSTITUCIONALES\2do seg PMJ comités 2021</v>
      </c>
      <c r="F50" s="0" t="str">
        <f aca="false">IFERROR(__xludf.dummyfunction("""COMPUTED_VALUE"""),"En desarrollo")</f>
        <v>En desarrollo</v>
      </c>
    </row>
    <row r="51" customFormat="false" ht="14.25" hidden="false" customHeight="false" outlineLevel="0" collapsed="false">
      <c r="A51" s="18" t="str">
        <f aca="false">IFERROR(MID(D51,1,FIND("|",D51)-1)&amp;"-"&amp;C51,"")</f>
        <v>AICI202110-6-2-2</v>
      </c>
      <c r="B51" s="19" t="n">
        <f aca="false">IFERROR(__xludf.dummyfunction("""COMPUTED_VALUE"""),44658)</f>
        <v>44658</v>
      </c>
      <c r="C51" s="0" t="n">
        <f aca="false">IFERROR(__xludf.dummyfunction("""COMPUTED_VALUE"""),2)</f>
        <v>2</v>
      </c>
      <c r="D51" s="0" t="str">
        <f aca="false">IFERROR(__xludf.dummyfunction("""COMPUTED_VALUE"""),"AICI202110-6-2| Actualizar y socializar Herramienta de seguimiento a la Gestión de los Comités ES-GC-F-45. (15/09/2021 - 31/12/2021)")</f>
        <v>AICI202110-6-2| Actualizar y socializar Herramienta de seguimiento a la Gestión de los Comités ES-GC-F-45. (15/09/2021 - 31/12/2021)</v>
      </c>
      <c r="E51" s="0" t="str">
        <f aca="false">IFERROR(__xludf.dummyfunction("""COMPUTED_VALUE"""),"Dentro de los soportes enviados se encuentra el formato ES-GC-F-45-02-Herramienta de seguimiento de la gestión de comités y hay un ejemplo  con fecha del 28/01/2022, sin embargo no hay soportes de socialización de la herramienta.  C:\05 AUDITORIAS 2021\AU"&amp;"DITORIA COMITÉS CIENTIFICOTECNICOS MAYO-JUNIO 2021\9 SEGUIMIENTOS PLAN DE MEJORA COMITES\1 PLAN DE MEJORA GENERAL DE COMITES INSTITUCIONALES\2do seg PMJ comités 2021")</f>
        <v>Dentro de los soportes enviados se encuentra el formato ES-GC-F-45-02-Herramienta de seguimiento de la gestión de comités y hay un ejemplo  con fecha del 28/01/2022, sin embargo no hay soportes de socialización de la herramienta.  C:\05 AUDITORIAS 2021\AUDITORIA COMITÉS CIENTIFICOTECNICOS MAYO-JUNIO 2021\9 SEGUIMIENTOS PLAN DE MEJORA COMITES\1 PLAN DE MEJORA GENERAL DE COMITES INSTITUCIONALES\2do seg PMJ comités 2021</v>
      </c>
      <c r="F51" s="0" t="str">
        <f aca="false">IFERROR(__xludf.dummyfunction("""COMPUTED_VALUE"""),"Atrasado")</f>
        <v>Atrasado</v>
      </c>
    </row>
    <row r="52" customFormat="false" ht="14.25" hidden="false" customHeight="false" outlineLevel="0" collapsed="false">
      <c r="A52" s="18" t="str">
        <f aca="false">IFERROR(MID(D52,1,FIND("|",D52)-1)&amp;"-"&amp;C52,"")</f>
        <v>AICI202110-6-3-2</v>
      </c>
      <c r="B52" s="19" t="n">
        <f aca="false">IFERROR(__xludf.dummyfunction("""COMPUTED_VALUE"""),44658)</f>
        <v>44658</v>
      </c>
      <c r="C52" s="0" t="n">
        <f aca="false">IFERROR(__xludf.dummyfunction("""COMPUTED_VALUE"""),2)</f>
        <v>2</v>
      </c>
      <c r="D52" s="0" t="str">
        <f aca="false">IFERROR(__xludf.dummyfunction("""COMPUTED_VALUE"""),"AICI202110-6-3| Realizar verificación de la calidad de las actas a través del seguimiento realizado por la Oficina de calidad (01/01/2022 - 30/04/2022)")</f>
        <v>AICI202110-6-3| Realizar verificación de la calidad de las actas a través del seguimiento realizado por la Oficina de calidad (01/01/2022 - 30/04/2022)</v>
      </c>
      <c r="E52" s="0" t="str">
        <f aca="false">IFERROR(__xludf.dummyfunction("""COMPUTED_VALUE"""),"Según el formato ES-GC-F-45-02-Herramienta de seguimiento de la gestión de comités generado con fecha de 28/01/2022 se revisaron la calidad de las actas de los comités de  FARMACIA Y TERAPEUTICA, VIGILANCIA EPIDEMIOLOGICA  Y ESTADISTICAS VITALES, TRASFUSI"&amp;"ON SANGUINEA, CONTROL Y PREVENCION DE INFECCIONES ASOCIADAS A LA ATENCION EN SALUD, GESTION CLINICA EXCELENTE Y SEGURA, HISTORIAS CLINICAS, MATERNO INFANTIL,  MATERNO PERINATAL, VIOLENCIA SEXUAL, DONACION DE ORGANOS, faltan la verificación en el resto de "&amp;"los comités auditados.  C:\05 AUDITORIAS 2021\AUDITORIA COMITÉS CIENTIFICOTECNICOS MAYO-JUNIO 2021\9 SEGUIMIENTOS PLAN DE MEJORA COMITES\1 PLAN DE MEJORA GENERAL DE COMITES INSTITUCIONALES\2do seg PMJ comités 2021")</f>
        <v>Según el formato ES-GC-F-45-02-Herramienta de seguimiento de la gestión de comités generado con fecha de 28/01/2022 se revisaron la calidad de las actas de los comités de  FARMACIA Y TERAPEUTICA, VIGILANCIA EPIDEMIOLOGICA  Y ESTADISTICAS VITALES, TRASFUSION SANGUINEA, CONTROL Y PREVENCION DE INFECCIONES ASOCIADAS A LA ATENCION EN SALUD, GESTION CLINICA EXCELENTE Y SEGURA, HISTORIAS CLINICAS, MATERNO INFANTIL,  MATERNO PERINATAL, VIOLENCIA SEXUAL, DONACION DE ORGANOS, faltan la verificación en el resto de los comités auditados.  C:\05 AUDITORIAS 2021\AUDITORIA COMITÉS CIENTIFICOTECNICOS MAYO-JUNIO 2021\9 SEGUIMIENTOS PLAN DE MEJORA COMITES\1 PLAN DE MEJORA GENERAL DE COMITES INSTITUCIONALES\2do seg PMJ comités 2021</v>
      </c>
      <c r="F52" s="0" t="str">
        <f aca="false">IFERROR(__xludf.dummyfunction("""COMPUTED_VALUE"""),"En desarrollo")</f>
        <v>En desarrollo</v>
      </c>
    </row>
    <row r="53" customFormat="false" ht="14.25" hidden="false" customHeight="false" outlineLevel="0" collapsed="false">
      <c r="A53" s="18" t="str">
        <f aca="false">IFERROR(MID(D53,1,FIND("|",D53)-1)&amp;"-"&amp;C53,"")</f>
        <v>AICI202110-7-1-2</v>
      </c>
      <c r="B53" s="19" t="n">
        <f aca="false">IFERROR(__xludf.dummyfunction("""COMPUTED_VALUE"""),44658)</f>
        <v>44658</v>
      </c>
      <c r="C53" s="0" t="n">
        <f aca="false">IFERROR(__xludf.dummyfunction("""COMPUTED_VALUE"""),2)</f>
        <v>2</v>
      </c>
      <c r="D53" s="0" t="str">
        <f aca="false">IFERROR(__xludf.dummyfunction("""COMPUTED_VALUE"""),"AICI202110-7-1| Socializar los Lineamientos generales para el seguimiento a compromisos derivados de auditorías … (15/09/2021 - 31/12/2021)")</f>
        <v>AICI202110-7-1| Socializar los Lineamientos generales para el seguimiento a compromisos derivados de auditorías … (15/09/2021 - 31/12/2021)</v>
      </c>
      <c r="E53" s="0" t="str">
        <f aca="false">IFERROR(__xludf.dummyfunction("""COMPUTED_VALUE"""),"Dentro de los soportes se encontró la SOCIALIZACIÓN DOCUMENTOS ACTUALIZADOS-CALIDAD  COMITES que es un correo electrónico enviado a algunos lideres de  área misional y administrativa, sin embargo no se evidencias soportes de socializaciones de estos docum"&amp;"entos a los demás integrantes de los comités.
El comité de Materno infantil y materno perinatal hizo socialización a los lideres,  pero no a los demás integrantes del comité.
el comité de historias clínicas ya realizó la socialización de estos documentos "&amp;"para el seguimiento anterior. Se evidencian soportes de socialización de GCES  C:\05 AUDITORIAS 2021\AUDITORIA COMITÉS CIENTIFICOTECNICOS MAYO-JUNIO 2021\9 SEGUIMIENTOS PLAN DE MEJORA COMITES\1 PLAN DE MEJORA GENERAL DE COMITES INSTITUCIONALES\2do seg PMJ"&amp;" comités 2021")</f>
        <v>Dentro de los soportes se encontró la SOCIALIZACIÓN DOCUMENTOS ACTUALIZADOS-CALIDAD  COMITES que es un correo electrónico enviado a algunos lideres de  área misional y administrativa, sin embargo no se evidencias soportes de socializaciones de estos documentos a los demás integrantes de los comités.
El comité de Materno infantil y materno perinatal hizo socialización a los lideres,  pero no a los demás integrantes del comité.
el comité de historias clínicas ya realizó la socialización de estos documentos para el seguimiento anterior. Se evidencian soportes de socialización de GCES  C:\05 AUDITORIAS 2021\AUDITORIA COMITÉS CIENTIFICOTECNICOS MAYO-JUNIO 2021\9 SEGUIMIENTOS PLAN DE MEJORA COMITES\1 PLAN DE MEJORA GENERAL DE COMITES INSTITUCIONALES\2do seg PMJ comités 2021</v>
      </c>
      <c r="F53" s="0" t="str">
        <f aca="false">IFERROR(__xludf.dummyfunction("""COMPUTED_VALUE"""),"Atrasado")</f>
        <v>Atrasado</v>
      </c>
    </row>
    <row r="54" customFormat="false" ht="14.25" hidden="false" customHeight="false" outlineLevel="0" collapsed="false">
      <c r="A54" s="18" t="str">
        <f aca="false">IFERROR(MID(D54,1,FIND("|",D54)-1)&amp;"-"&amp;C54,"")</f>
        <v>AICI202110-7-2-2</v>
      </c>
      <c r="B54" s="19" t="n">
        <f aca="false">IFERROR(__xludf.dummyfunction("""COMPUTED_VALUE"""),44658)</f>
        <v>44658</v>
      </c>
      <c r="C54" s="0" t="n">
        <f aca="false">IFERROR(__xludf.dummyfunction("""COMPUTED_VALUE"""),2)</f>
        <v>2</v>
      </c>
      <c r="D54" s="0" t="str">
        <f aca="false">IFERROR(__xludf.dummyfunction("""COMPUTED_VALUE"""),"AICI202110-7-2| Socializar el Instructivo para la Gestión de los Comités Institucionales ES-GC-I-16 actualizado … (15/09/2021 - 31/12/2021)")</f>
        <v>AICI202110-7-2| Socializar el Instructivo para la Gestión de los Comités Institucionales ES-GC-I-16 actualizado … (15/09/2021 - 31/12/2021)</v>
      </c>
      <c r="E54" s="0" t="str">
        <f aca="false">IFERROR(__xludf.dummyfunction("""COMPUTED_VALUE"""),"Dentro de los soportes se encontró la SOCIALIZACIÓN DOCUMENTOS ACTUALIZADOS-CALIDAD  COMITES mediante correos electrónico enviado a algunos lideres de  área misional y administrativa, sin embargo no se evidencias soportes de socializaciones de estos docum"&amp;"entos a los demás integrantes de los comités.
El comité de Materno infantil y materno perinatal hizo socialización a los lideres, pero no a los demás integrantes del comité.
el comité de historias clínicas ya realizó la socialización de estos documentos p"&amp;"ara el seguimiento anterior.  Comité GCES socializó los documentos en comité de febrero 2022  C:\05 AUDITORIAS 2021\AUDITORIA COMITÉS CIENTIFICOTECNICOS MAYO-JUNIO 2021\9 SEGUIMIENTOS PLAN DE MEJORA COMITES\1 PLAN DE MEJORA GENERAL DE COMITES INSTITUCIONA"&amp;"LES\2do seg PMJ comités 2021")</f>
        <v>Dentro de los soportes se encontró la SOCIALIZACIÓN DOCUMENTOS ACTUALIZADOS-CALIDAD  COMITES mediante correos electrónico enviado a algunos lideres de  área misional y administrativa, sin embargo no se evidencias soportes de socializaciones de estos documentos a los demás integrantes de los comités.
El comité de Materno infantil y materno perinatal hizo socialización a los lideres, pero no a los demás integrantes del comité.
el comité de historias clínicas ya realizó la socialización de estos documentos para el seguimiento anterior.  Comité GCES socializó los documentos en comité de febrero 2022  C:\05 AUDITORIAS 2021\AUDITORIA COMITÉS CIENTIFICOTECNICOS MAYO-JUNIO 2021\9 SEGUIMIENTOS PLAN DE MEJORA COMITES\1 PLAN DE MEJORA GENERAL DE COMITES INSTITUCIONALES\2do seg PMJ comités 2021</v>
      </c>
      <c r="F54" s="0" t="str">
        <f aca="false">IFERROR(__xludf.dummyfunction("""COMPUTED_VALUE"""),"Atrasado")</f>
        <v>Atrasado</v>
      </c>
    </row>
    <row r="55" customFormat="false" ht="14.25" hidden="false" customHeight="false" outlineLevel="0" collapsed="false">
      <c r="A55" s="18" t="str">
        <f aca="false">IFERROR(MID(D55,1,FIND("|",D55)-1)&amp;"-"&amp;C55,"")</f>
        <v>AICI202110-7-3-2</v>
      </c>
      <c r="B55" s="19" t="n">
        <f aca="false">IFERROR(__xludf.dummyfunction("""COMPUTED_VALUE"""),44658)</f>
        <v>44658</v>
      </c>
      <c r="C55" s="0" t="n">
        <f aca="false">IFERROR(__xludf.dummyfunction("""COMPUTED_VALUE"""),2)</f>
        <v>2</v>
      </c>
      <c r="D55" s="0" t="str">
        <f aca="false">IFERROR(__xludf.dummyfunction("""COMPUTED_VALUE"""),"AICI202110-7-3| Realizar verificación de la calidad de los planes de mejora y planes de acción a través del … (01/01/2022 - 30/04/2022)")</f>
        <v>AICI202110-7-3| Realizar verificación de la calidad de los planes de mejora y planes de acción a través del … (01/01/2022 - 30/04/2022)</v>
      </c>
      <c r="E55" s="0" t="str">
        <f aca="false">IFERROR(__xludf.dummyfunction("""COMPUTED_VALUE"""),"Según el formato ES-GC-F-45-02-Herramienta de seguimiento de la gestión de comités generado con fecha de 28/01/2022 se revisó la existencia de los planes de gestión, pero no se hace referencia a la calidad de los mismos  y a los planes de mejora como lo s"&amp;"olicita la acción.")</f>
        <v>Según el formato ES-GC-F-45-02-Herramienta de seguimiento de la gestión de comités generado con fecha de 28/01/2022 se revisó la existencia de los planes de gestión, pero no se hace referencia a la calidad de los mismos  y a los planes de mejora como lo solicita la acción.</v>
      </c>
      <c r="F55" s="0" t="str">
        <f aca="false">IFERROR(__xludf.dummyfunction("""COMPUTED_VALUE"""),"En desarrollo")</f>
        <v>En desarrollo</v>
      </c>
    </row>
    <row r="56" customFormat="false" ht="14.25" hidden="false" customHeight="false" outlineLevel="0" collapsed="false">
      <c r="A56" s="18" t="str">
        <f aca="false">IFERROR(MID(D56,1,FIND("|",D56)-1)&amp;"-"&amp;C56,"")</f>
        <v>AICI202110-7-4-2</v>
      </c>
      <c r="B56" s="19" t="n">
        <f aca="false">IFERROR(__xludf.dummyfunction("""COMPUTED_VALUE"""),44658)</f>
        <v>44658</v>
      </c>
      <c r="C56" s="0" t="n">
        <f aca="false">IFERROR(__xludf.dummyfunction("""COMPUTED_VALUE"""),2)</f>
        <v>2</v>
      </c>
      <c r="D56" s="0" t="str">
        <f aca="false">IFERROR(__xludf.dummyfunction("""COMPUTED_VALUE"""),"AICI202110-7-4| Presentar informe de los hallazgos a cada comité (01/05/2022 - 31/05/2022)")</f>
        <v>AICI202110-7-4| Presentar informe de los hallazgos a cada comité (01/05/2022 - 31/05/2022)</v>
      </c>
      <c r="E56" s="0" t="str">
        <f aca="false">IFERROR(__xludf.dummyfunction("""COMPUTED_VALUE"""),"no aplica ")</f>
        <v>no aplica </v>
      </c>
      <c r="F56" s="0" t="str">
        <f aca="false">IFERROR(__xludf.dummyfunction("""COMPUTED_VALUE"""),"No iniciado")</f>
        <v>No iniciado</v>
      </c>
    </row>
    <row r="57" customFormat="false" ht="14.25" hidden="false" customHeight="false" outlineLevel="0" collapsed="false">
      <c r="A57" s="18" t="str">
        <f aca="false">IFERROR(MID(D57,1,FIND("|",D57)-1)&amp;"-"&amp;C57,"")</f>
        <v>AICI202110-6-4-2</v>
      </c>
      <c r="B57" s="19" t="n">
        <f aca="false">IFERROR(__xludf.dummyfunction("""COMPUTED_VALUE"""),44658)</f>
        <v>44658</v>
      </c>
      <c r="C57" s="0" t="n">
        <f aca="false">IFERROR(__xludf.dummyfunction("""COMPUTED_VALUE"""),2)</f>
        <v>2</v>
      </c>
      <c r="D57" s="0" t="str">
        <f aca="false">IFERROR(__xludf.dummyfunction("""COMPUTED_VALUE"""),"AICI202110-6-4| Presentar informe de los hallazgos a cada comité (01/05/2022 - 31/05/2022)")</f>
        <v>AICI202110-6-4| Presentar informe de los hallazgos a cada comité (01/05/2022 - 31/05/2022)</v>
      </c>
      <c r="E57" s="0" t="str">
        <f aca="false">IFERROR(__xludf.dummyfunction("""COMPUTED_VALUE"""),"No aplica")</f>
        <v>No aplica</v>
      </c>
      <c r="F57" s="0" t="str">
        <f aca="false">IFERROR(__xludf.dummyfunction("""COMPUTED_VALUE"""),"No iniciado")</f>
        <v>No iniciado</v>
      </c>
    </row>
    <row r="58" customFormat="false" ht="14.25" hidden="false" customHeight="false" outlineLevel="0" collapsed="false">
      <c r="A58" s="18" t="str">
        <f aca="false">IFERROR(MID(D58,1,FIND("|",D58)-1)&amp;"-"&amp;C58,"")</f>
        <v>AICI202110-8-1-2</v>
      </c>
      <c r="B58" s="19" t="n">
        <f aca="false">IFERROR(__xludf.dummyfunction("""COMPUTED_VALUE"""),44658)</f>
        <v>44658</v>
      </c>
      <c r="C58" s="0" t="n">
        <f aca="false">IFERROR(__xludf.dummyfunction("""COMPUTED_VALUE"""),2)</f>
        <v>2</v>
      </c>
      <c r="D58" s="0" t="str">
        <f aca="false">IFERROR(__xludf.dummyfunction("""COMPUTED_VALUE"""),"AICI202110-8-1| Realizar registro periódico y oportuno de la matriz de compromisos derivados de los comités … (15/09/2021 - 30/04/2022)")</f>
        <v>AICI202110-8-1| Realizar registro periódico y oportuno de la matriz de compromisos derivados de los comités … (15/09/2021 - 30/04/2022)</v>
      </c>
      <c r="E58" s="0" t="str">
        <f aca="false">IFERROR(__xludf.dummyfunction("""COMPUTED_VALUE"""),"No se presentan soportes de avances de esta acción. Acción en desarrollo fecha de cierre aun no vence")</f>
        <v>No se presentan soportes de avances de esta acción. Acción en desarrollo fecha de cierre aun no vence</v>
      </c>
      <c r="F58" s="0" t="str">
        <f aca="false">IFERROR(__xludf.dummyfunction("""COMPUTED_VALUE"""),"En desarrollo")</f>
        <v>En desarrollo</v>
      </c>
    </row>
    <row r="59" customFormat="false" ht="14.25" hidden="false" customHeight="false" outlineLevel="0" collapsed="false">
      <c r="A59" s="18" t="str">
        <f aca="false">IFERROR(MID(D59,1,FIND("|",D59)-1)&amp;"-"&amp;C59,"")</f>
        <v>AICI202110-8-2-2</v>
      </c>
      <c r="B59" s="19" t="n">
        <f aca="false">IFERROR(__xludf.dummyfunction("""COMPUTED_VALUE"""),44658)</f>
        <v>44658</v>
      </c>
      <c r="C59" s="0" t="n">
        <f aca="false">IFERROR(__xludf.dummyfunction("""COMPUTED_VALUE"""),2)</f>
        <v>2</v>
      </c>
      <c r="D59" s="0" t="str">
        <f aca="false">IFERROR(__xludf.dummyfunction("""COMPUTED_VALUE"""),"AICI202110-8-2| Socialización periódica y puntual de los compromisos a los responsables derivados de los comités (15/09/2021 - 30/04/2022)")</f>
        <v>AICI202110-8-2| Socialización periódica y puntual de los compromisos a los responsables derivados de los comités (15/09/2021 - 30/04/2022)</v>
      </c>
      <c r="E59" s="0" t="str">
        <f aca="false">IFERROR(__xludf.dummyfunction("""COMPUTED_VALUE"""),"No se presentan soportes de avances de esta acción. Acción en desarrollo fecha de cierre aun no vence")</f>
        <v>No se presentan soportes de avances de esta acción. Acción en desarrollo fecha de cierre aun no vence</v>
      </c>
      <c r="F59" s="0" t="str">
        <f aca="false">IFERROR(__xludf.dummyfunction("""COMPUTED_VALUE"""),"En desarrollo")</f>
        <v>En desarrollo</v>
      </c>
    </row>
    <row r="60" customFormat="false" ht="14.25" hidden="false" customHeight="false" outlineLevel="0" collapsed="false">
      <c r="A60" s="18" t="str">
        <f aca="false">IFERROR(MID(D60,1,FIND("|",D60)-1)&amp;"-"&amp;C60,"")</f>
        <v>AICI202110-8-3-2</v>
      </c>
      <c r="B60" s="19" t="n">
        <f aca="false">IFERROR(__xludf.dummyfunction("""COMPUTED_VALUE"""),44658)</f>
        <v>44658</v>
      </c>
      <c r="C60" s="0" t="n">
        <f aca="false">IFERROR(__xludf.dummyfunction("""COMPUTED_VALUE"""),2)</f>
        <v>2</v>
      </c>
      <c r="D60" s="0" t="str">
        <f aca="false">IFERROR(__xludf.dummyfunction("""COMPUTED_VALUE"""),"AICI202110-8-3| Seguimiento y registro del avance porcentual de cumplimiento de cada compromiso en la matriz… (15/09/2021 - 30/04/2022)")</f>
        <v>AICI202110-8-3| Seguimiento y registro del avance porcentual de cumplimiento de cada compromiso en la matriz… (15/09/2021 - 30/04/2022)</v>
      </c>
      <c r="E60" s="0" t="str">
        <f aca="false">IFERROR(__xludf.dummyfunction("""COMPUTED_VALUE"""),"No se presentan soportes de avances de esta acción. Acción en desarrollo fecha de cierre aun no vence")</f>
        <v>No se presentan soportes de avances de esta acción. Acción en desarrollo fecha de cierre aun no vence</v>
      </c>
      <c r="F60" s="0" t="str">
        <f aca="false">IFERROR(__xludf.dummyfunction("""COMPUTED_VALUE"""),"En desarrollo")</f>
        <v>En desarrollo</v>
      </c>
    </row>
    <row r="61" customFormat="false" ht="14.25" hidden="false" customHeight="false" outlineLevel="0" collapsed="false">
      <c r="A61" s="18" t="str">
        <f aca="false">IFERROR(MID(D61,1,FIND("|",D61)-1)&amp;"-"&amp;C61,"")</f>
        <v>AICI202110-8-4-2</v>
      </c>
      <c r="B61" s="19" t="n">
        <f aca="false">IFERROR(__xludf.dummyfunction("""COMPUTED_VALUE"""),44658)</f>
        <v>44658</v>
      </c>
      <c r="C61" s="0" t="n">
        <f aca="false">IFERROR(__xludf.dummyfunction("""COMPUTED_VALUE"""),2)</f>
        <v>2</v>
      </c>
      <c r="D61" s="0" t="str">
        <f aca="false">IFERROR(__xludf.dummyfunction("""COMPUTED_VALUE"""),"AICI202110-8-4| Realizar verificación de la calidad de las actas a través del seguimiento realizado por la Oficina de Calidad (15/09/2021 - 30/04/2022)")</f>
        <v>AICI202110-8-4| Realizar verificación de la calidad de las actas a través del seguimiento realizado por la Oficina de Calidad (15/09/2021 - 30/04/2022)</v>
      </c>
      <c r="E61" s="0" t="str">
        <f aca="false">IFERROR(__xludf.dummyfunction("""COMPUTED_VALUE"""),"No se presentan soportes de avances de esta acción. Acción en desarrollo fecha de cierre aun no vence")</f>
        <v>No se presentan soportes de avances de esta acción. Acción en desarrollo fecha de cierre aun no vence</v>
      </c>
      <c r="F61" s="0" t="str">
        <f aca="false">IFERROR(__xludf.dummyfunction("""COMPUTED_VALUE"""),"En desarrollo")</f>
        <v>En desarrollo</v>
      </c>
    </row>
    <row r="62" customFormat="false" ht="14.25" hidden="false" customHeight="false" outlineLevel="0" collapsed="false">
      <c r="A62" s="18" t="str">
        <f aca="false">IFERROR(MID(D62,1,FIND("|",D62)-1)&amp;"-"&amp;C62,"")</f>
        <v>AICI202110-8-5-2</v>
      </c>
      <c r="B62" s="19" t="n">
        <f aca="false">IFERROR(__xludf.dummyfunction("""COMPUTED_VALUE"""),44658)</f>
        <v>44658</v>
      </c>
      <c r="C62" s="0" t="n">
        <f aca="false">IFERROR(__xludf.dummyfunction("""COMPUTED_VALUE"""),2)</f>
        <v>2</v>
      </c>
      <c r="D62" s="0" t="str">
        <f aca="false">IFERROR(__xludf.dummyfunction("""COMPUTED_VALUE"""),"AICI202110-8-5| Presentar informe de los hallazgos a cada comité (01/05/2022 - 31/05/2022)")</f>
        <v>AICI202110-8-5| Presentar informe de los hallazgos a cada comité (01/05/2022 - 31/05/2022)</v>
      </c>
      <c r="E62" s="0" t="str">
        <f aca="false">IFERROR(__xludf.dummyfunction("""COMPUTED_VALUE"""),"No aplica")</f>
        <v>No aplica</v>
      </c>
      <c r="F62" s="0" t="str">
        <f aca="false">IFERROR(__xludf.dummyfunction("""COMPUTED_VALUE"""),"No iniciado")</f>
        <v>No iniciado</v>
      </c>
    </row>
    <row r="63" customFormat="false" ht="14.25" hidden="false" customHeight="false" outlineLevel="0" collapsed="false">
      <c r="A63" s="18" t="str">
        <f aca="false">IFERROR(MID(D63,1,FIND("|",D63)-1)&amp;"-"&amp;C63,"")</f>
        <v>AICI202110-9-1-2</v>
      </c>
      <c r="B63" s="19" t="n">
        <f aca="false">IFERROR(__xludf.dummyfunction("""COMPUTED_VALUE"""),44658)</f>
        <v>44658</v>
      </c>
      <c r="C63" s="0" t="n">
        <f aca="false">IFERROR(__xludf.dummyfunction("""COMPUTED_VALUE"""),2)</f>
        <v>2</v>
      </c>
      <c r="D63" s="0" t="str">
        <f aca="false">IFERROR(__xludf.dummyfunction("""COMPUTED_VALUE"""),"AICI202110-9-1| Socializar el Instructivo para la Gestión de los Comités Institucionales ES-GC-I-16 … (15/09/2021 - 31/12/2021)")</f>
        <v>AICI202110-9-1| Socializar el Instructivo para la Gestión de los Comités Institucionales ES-GC-I-16 … (15/09/2021 - 31/12/2021)</v>
      </c>
      <c r="E63" s="0" t="str">
        <f aca="false">IFERROR(__xludf.dummyfunction("""COMPUTED_VALUE"""),"Se evidenció el SOPORTE SOCIALIZACIÓN DOCUMENTOS ACTUALIZADOS-CALIDAD  COMITES mediante correo  electrónico enviado a algunos lideres de  área misional y administrativa, sin embargo no se evidencias soportes de socializaciones de estos documentos a los de"&amp;"más integrantes de los comités.
El comité de Materno infantil y materno perinatal hizo socialización a los lideres,  pero no a los demás integrantes del comité.
el comité de historias clínicas ya realizó la socialización de estos documentos para el seguim"&amp;"iento anterior. Se evidencian soportes de socialización de GCES  C:\05 AUDITORIAS 2021\AUDITORIA COMITÉS CIENTIFICOTECNICOS MAYO-JUNIO 2021\9 SEGUIMIENTOS PLAN DE MEJORA COMITES\1 PLAN DE MEJORA GENERAL DE COMITES INSTITUCIONALES\2do seg PMJ comités 2021")</f>
        <v>Se evidenció el SOPORTE SOCIALIZACIÓN DOCUMENTOS ACTUALIZADOS-CALIDAD  COMITES mediante correo  electrónico enviado a algunos lideres de  área misional y administrativa, sin embargo no se evidencias soportes de socializaciones de estos documentos a los demás integrantes de los comités.
El comité de Materno infantil y materno perinatal hizo socialización a los lideres,  pero no a los demás integrantes del comité.
el comité de historias clínicas ya realizó la socialización de estos documentos para el seguimiento anterior. Se evidencian soportes de socialización de GCES  C:\05 AUDITORIAS 2021\AUDITORIA COMITÉS CIENTIFICOTECNICOS MAYO-JUNIO 2021\9 SEGUIMIENTOS PLAN DE MEJORA COMITES\1 PLAN DE MEJORA GENERAL DE COMITES INSTITUCIONALES\2do seg PMJ comités 2021</v>
      </c>
      <c r="F63" s="0" t="str">
        <f aca="false">IFERROR(__xludf.dummyfunction("""COMPUTED_VALUE"""),"Atrasado")</f>
        <v>Atrasado</v>
      </c>
    </row>
    <row r="64" customFormat="false" ht="14.25" hidden="false" customHeight="false" outlineLevel="0" collapsed="false">
      <c r="A64" s="18" t="str">
        <f aca="false">IFERROR(MID(D64,1,FIND("|",D64)-1)&amp;"-"&amp;C64,"")</f>
        <v>AICI202110-9-2-2</v>
      </c>
      <c r="B64" s="19" t="n">
        <f aca="false">IFERROR(__xludf.dummyfunction("""COMPUTED_VALUE"""),44658)</f>
        <v>44658</v>
      </c>
      <c r="C64" s="0" t="n">
        <f aca="false">IFERROR(__xludf.dummyfunction("""COMPUTED_VALUE"""),2)</f>
        <v>2</v>
      </c>
      <c r="D64" s="0" t="str">
        <f aca="false">IFERROR(__xludf.dummyfunction("""COMPUTED_VALUE"""),"AICI202110-9-2| elaboración y presentación del informe ejecutivo anual en la primera reunión del año de cada comité (01/02/2022 - 28/02/2022)")</f>
        <v>AICI202110-9-2| elaboración y presentación del informe ejecutivo anual en la primera reunión del año de cada comité (01/02/2022 - 28/02/2022)</v>
      </c>
      <c r="E64" s="0" t="str">
        <f aca="false">IFERROR(__xludf.dummyfunction("""COMPUTED_VALUE"""),"Se evidencia el soporte de informe  ejecutivo anual del comité de control y vigilancia de las IAAS,  no hay soportes de los demás comités. Se evidencia informe ejecutivo y plan de acción de comité materno infantil en enero de 2022 , del comité maternoperi"&amp;"natal, del comité GCES.  Se evidencia informe comité IAAS y presentación en comité. soporte en  C:\05 AUDITORIAS 2021\AUDITORIA COMITÉS CIENTIFICOTECNICOS MAYO-JUNIO 2021\9 SEGUIMIENTOS PLAN DE MEJORA COMITES\1 PLAN DE MEJORA GENERAL DE COMITES INSTITUCIO"&amp;"NALES\2do seg PMJ comités 2021")</f>
        <v>Se evidencia el soporte de informe  ejecutivo anual del comité de control y vigilancia de las IAAS,  no hay soportes de los demás comités. Se evidencia informe ejecutivo y plan de acción de comité materno infantil en enero de 2022 , del comité maternoperinatal, del comité GCES.  Se evidencia informe comité IAAS y presentación en comité. soporte en  C:\05 AUDITORIAS 2021\AUDITORIA COMITÉS CIENTIFICOTECNICOS MAYO-JUNIO 2021\9 SEGUIMIENTOS PLAN DE MEJORA COMITES\1 PLAN DE MEJORA GENERAL DE COMITES INSTITUCIONALES\2do seg PMJ comités 2021</v>
      </c>
      <c r="F64" s="0" t="str">
        <f aca="false">IFERROR(__xludf.dummyfunction("""COMPUTED_VALUE"""),"Atrasado")</f>
        <v>Atrasado</v>
      </c>
    </row>
    <row r="65" customFormat="false" ht="14.25" hidden="false" customHeight="false" outlineLevel="0" collapsed="false">
      <c r="A65" s="18" t="str">
        <f aca="false">IFERROR(MID(D65,1,FIND("|",D65)-1)&amp;"-"&amp;C65,"")</f>
        <v>AICI202110-9-3-2</v>
      </c>
      <c r="B65" s="19" t="n">
        <f aca="false">IFERROR(__xludf.dummyfunction("""COMPUTED_VALUE"""),44658)</f>
        <v>44658</v>
      </c>
      <c r="C65" s="0" t="n">
        <f aca="false">IFERROR(__xludf.dummyfunction("""COMPUTED_VALUE"""),2)</f>
        <v>2</v>
      </c>
      <c r="D65" s="0" t="str">
        <f aca="false">IFERROR(__xludf.dummyfunction("""COMPUTED_VALUE"""),"AICI202110-9-3| Remisión del informe a gestión de calidad para consolidación, análisis y recomendaciones … (01/02/2022 - 28/02/2022)")</f>
        <v>AICI202110-9-3| Remisión del informe a gestión de calidad para consolidación, análisis y recomendaciones … (01/02/2022 - 28/02/2022)</v>
      </c>
      <c r="E65" s="0" t="str">
        <f aca="false">IFERROR(__xludf.dummyfunction("""COMPUTED_VALUE"""),"No se tiene evidencia de los soportes de remisión de los seguimientos de los comités al área de calidad por parte de cada uno de los comités ")</f>
        <v>No se tiene evidencia de los soportes de remisión de los seguimientos de los comités al área de calidad por parte de cada uno de los comités </v>
      </c>
      <c r="F65" s="0" t="str">
        <f aca="false">IFERROR(__xludf.dummyfunction("""COMPUTED_VALUE"""),"Atrasado")</f>
        <v>Atrasado</v>
      </c>
    </row>
    <row r="66" customFormat="false" ht="14.25" hidden="false" customHeight="false" outlineLevel="0" collapsed="false">
      <c r="A66" s="18" t="str">
        <f aca="false">IFERROR(MID(D66,1,FIND("|",D66)-1)&amp;"-"&amp;C66,"")</f>
        <v>AICI202110-9-4-2</v>
      </c>
      <c r="B66" s="19" t="n">
        <f aca="false">IFERROR(__xludf.dummyfunction("""COMPUTED_VALUE"""),44658)</f>
        <v>44658</v>
      </c>
      <c r="C66" s="0" t="n">
        <f aca="false">IFERROR(__xludf.dummyfunction("""COMPUTED_VALUE"""),2)</f>
        <v>2</v>
      </c>
      <c r="D66" s="0" t="str">
        <f aca="false">IFERROR(__xludf.dummyfunction("""COMPUTED_VALUE"""),"AICI202110-9-4| Elaboración y presentación de informe consolidado que incluya análisis y recomendaciones ... (01/02/2022 - 28/02/2022)")</f>
        <v>AICI202110-9-4| Elaboración y presentación de informe consolidado que incluya análisis y recomendaciones ... (01/02/2022 - 28/02/2022)</v>
      </c>
      <c r="E66" s="0" t="str">
        <f aca="false">IFERROR(__xludf.dummyfunction("""COMPUTED_VALUE"""),"Se evidencia soporte del informe por parte de calidad sobre los RESULTADOS DE LA EVALUACIÓN DE LA GESTIÓN DE COMITÉS ASISTENCIALES DE SEPTIEMBRE - DICIEMBRE DE 2021. y soporte de CORREO DE REMISION DE INFORME SEGUIMIENTO A COMITES. No se evidencia la eval"&amp;"uación de la  totalidad de los comités verificados durante la auditoría. Soporte en C:\05 AUDITORIAS 2021\AUDITORIA COMITÉS CIENTIFICOTECNICOS MAYO-JUNIO 2021\9 SEGUIMIENTOS PLAN DE MEJORA COMITES\1 PLAN DE MEJORA GENERAL DE COMITES INSTITUCIONALES\2do se"&amp;"g PMJ comités 2021")</f>
        <v>Se evidencia soporte del informe por parte de calidad sobre los RESULTADOS DE LA EVALUACIÓN DE LA GESTIÓN DE COMITÉS ASISTENCIALES DE SEPTIEMBRE - DICIEMBRE DE 2021. y soporte de CORREO DE REMISION DE INFORME SEGUIMIENTO A COMITES. No se evidencia la evaluación de la  totalidad de los comités verificados durante la auditoría. Soporte en C:\05 AUDITORIAS 2021\AUDITORIA COMITÉS CIENTIFICOTECNICOS MAYO-JUNIO 2021\9 SEGUIMIENTOS PLAN DE MEJORA COMITES\1 PLAN DE MEJORA GENERAL DE COMITES INSTITUCIONALES\2do seg PMJ comités 2021</v>
      </c>
      <c r="F66" s="0" t="str">
        <f aca="false">IFERROR(__xludf.dummyfunction("""COMPUTED_VALUE"""),"Atrasado")</f>
        <v>Atrasado</v>
      </c>
    </row>
    <row r="67" customFormat="false" ht="14.25" hidden="false" customHeight="false" outlineLevel="0" collapsed="false">
      <c r="A67" s="18" t="str">
        <f aca="false">IFERROR(MID(D67,1,FIND("|",D67)-1)&amp;"-"&amp;C67,"")</f>
        <v>AICI202110-10-1-2</v>
      </c>
      <c r="B67" s="19" t="n">
        <f aca="false">IFERROR(__xludf.dummyfunction("""COMPUTED_VALUE"""),44658)</f>
        <v>44658</v>
      </c>
      <c r="C67" s="0" t="n">
        <f aca="false">IFERROR(__xludf.dummyfunction("""COMPUTED_VALUE"""),2)</f>
        <v>2</v>
      </c>
      <c r="D67" s="0" t="str">
        <f aca="false">IFERROR(__xludf.dummyfunction("""COMPUTED_VALUE"""),"AICI202110-10-1| Actualizar el Instructivo para la Gestión de los Comités Institucionales ES-GC-I-16 incluyendo … (15/09/2021 - 31/12/2021)")</f>
        <v>AICI202110-10-1| Actualizar el Instructivo para la Gestión de los Comités Institucionales ES-GC-I-16 incluyendo … (15/09/2021 - 31/12/2021)</v>
      </c>
      <c r="E67" s="0" t="str">
        <f aca="false">IFERROR(__xludf.dummyfunction("""COMPUTED_VALUE"""),"Se realizó por parte de la oficina de calidad la revisión y actualización del documento Instructivo para la Gestión de los Comités Institucionales ES-GC-I-16.  Se adjunta documento actualizado versión 3 del 16/09/2021.  documento en la intranet ver pg 8. "&amp;" ")</f>
        <v>Se realizó por parte de la oficina de calidad la revisión y actualización del documento Instructivo para la Gestión de los Comités Institucionales ES-GC-I-16.  Se adjunta documento actualizado versión 3 del 16/09/2021.  documento en la intranet ver pg 8.  </v>
      </c>
      <c r="F67" s="0" t="str">
        <f aca="false">IFERROR(__xludf.dummyfunction("""COMPUTED_VALUE"""),"Completo")</f>
        <v>Completo</v>
      </c>
      <c r="G67" s="0" t="str">
        <f aca="false">IFERROR(__xludf.dummyfunction("""COMPUTED_VALUE"""),"No")</f>
        <v>No</v>
      </c>
    </row>
    <row r="68" customFormat="false" ht="14.25" hidden="false" customHeight="false" outlineLevel="0" collapsed="false">
      <c r="A68" s="18" t="str">
        <f aca="false">IFERROR(MID(D68,1,FIND("|",D68)-1)&amp;"-"&amp;C68,"")</f>
        <v>AICI202110-10-2-2</v>
      </c>
      <c r="B68" s="19" t="n">
        <f aca="false">IFERROR(__xludf.dummyfunction("""COMPUTED_VALUE"""),44658)</f>
        <v>44658</v>
      </c>
      <c r="C68" s="0" t="n">
        <f aca="false">IFERROR(__xludf.dummyfunction("""COMPUTED_VALUE"""),2)</f>
        <v>2</v>
      </c>
      <c r="D68" s="0" t="str">
        <f aca="false">IFERROR(__xludf.dummyfunction("""COMPUTED_VALUE"""),"AICI202110-10-2| Socializar el Instructivo para la Gestión de los Comités Institucionales ES-GC-I-16 … (15/09/2021 - 31/12/2021)")</f>
        <v>AICI202110-10-2| Socializar el Instructivo para la Gestión de los Comités Institucionales ES-GC-I-16 … (15/09/2021 - 31/12/2021)</v>
      </c>
      <c r="E68" s="0" t="str">
        <f aca="false">IFERROR(__xludf.dummyfunction("""COMPUTED_VALUE"""),"Se evidenció el SOPORTE SOCIALIZACIÓN DOCUMENTOS ACTUALIZADOS-CALIDAD  COMITES mediante correo electrónico enviado a algunos lideres de  área misional y administrativa, sin embargo no se evidencias soportes de socializaciones de estos documentos a los dem"&amp;"ás integrantes de los comités.
El comité de Materno infantil y materno perinatal hizo socialización a los lideres, pero no a los demás integrantes del comité.
el comité de historias clínicas ya realizó la socialización de estos documentos para el seguimie"&amp;"nto anterior.  Comité GCES socializó los documentos en comité de febrero 2022   soporte en C:\05 AUDITORIAS 2021\AUDITORIA COMITÉS CIENTIFICOTECNICOS MAYO-JUNIO 2021\9 SEGUIMIENTOS PLAN DE MEJORA COMITES\1 PLAN DE MEJORA GENERAL DE COMITES INSTITUCIONALES"&amp;"\2do seg PMJ comités 2021")</f>
        <v>Se evidenció el SOPORTE SOCIALIZACIÓN DOCUMENTOS ACTUALIZADOS-CALIDAD  COMITES mediante correo electrónico enviado a algunos lideres de  área misional y administrativa, sin embargo no se evidencias soportes de socializaciones de estos documentos a los demás integrantes de los comités.
El comité de Materno infantil y materno perinatal hizo socialización a los lideres, pero no a los demás integrantes del comité.
el comité de historias clínicas ya realizó la socialización de estos documentos para el seguimiento anterior.  Comité GCES socializó los documentos en comité de febrero 2022   soporte en C:\05 AUDITORIAS 2021\AUDITORIA COMITÉS CIENTIFICOTECNICOS MAYO-JUNIO 2021\9 SEGUIMIENTOS PLAN DE MEJORA COMITES\1 PLAN DE MEJORA GENERAL DE COMITES INSTITUCIONALES\2do seg PMJ comités 2021</v>
      </c>
      <c r="F68" s="0" t="str">
        <f aca="false">IFERROR(__xludf.dummyfunction("""COMPUTED_VALUE"""),"Atrasado")</f>
        <v>Atrasado</v>
      </c>
    </row>
    <row r="69" customFormat="false" ht="14.25" hidden="false" customHeight="false" outlineLevel="0" collapsed="false">
      <c r="A69" s="18" t="str">
        <f aca="false">IFERROR(MID(D69,1,FIND("|",D69)-1)&amp;"-"&amp;C69,"")</f>
        <v>AICI202110-10-3-2</v>
      </c>
      <c r="B69" s="19" t="n">
        <f aca="false">IFERROR(__xludf.dummyfunction("""COMPUTED_VALUE"""),44658)</f>
        <v>44658</v>
      </c>
      <c r="C69" s="0" t="n">
        <f aca="false">IFERROR(__xludf.dummyfunction("""COMPUTED_VALUE"""),2)</f>
        <v>2</v>
      </c>
      <c r="D69" s="0" t="str">
        <f aca="false">IFERROR(__xludf.dummyfunction("""COMPUTED_VALUE"""),"AICI202110-10-3| Realizar verificación del manejo y custodia del archivo de los comités a través de la … (01/01/2022 - 30/04/2022)")</f>
        <v>AICI202110-10-3| Realizar verificación del manejo y custodia del archivo de los comités a través de la … (01/01/2022 - 30/04/2022)</v>
      </c>
      <c r="E69" s="0" t="str">
        <f aca="false">IFERROR(__xludf.dummyfunction("""COMPUTED_VALUE"""),"No se evidencia ningún soporte que permita sustentar la verificación del manejo y custodia del archivo de  los comités por parte de calidad.")</f>
        <v>No se evidencia ningún soporte que permita sustentar la verificación del manejo y custodia del archivo de  los comités por parte de calidad.</v>
      </c>
      <c r="F69" s="0" t="str">
        <f aca="false">IFERROR(__xludf.dummyfunction("""COMPUTED_VALUE"""),"En desarrollo")</f>
        <v>En desarrollo</v>
      </c>
    </row>
    <row r="70" customFormat="false" ht="14.25" hidden="false" customHeight="false" outlineLevel="0" collapsed="false">
      <c r="A70" s="18" t="str">
        <f aca="false">IFERROR(MID(D70,1,FIND("|",D70)-1)&amp;"-"&amp;C70,"")</f>
        <v>AICI202110-10-4-2</v>
      </c>
      <c r="B70" s="19" t="n">
        <f aca="false">IFERROR(__xludf.dummyfunction("""COMPUTED_VALUE"""),44658)</f>
        <v>44658</v>
      </c>
      <c r="C70" s="0" t="n">
        <f aca="false">IFERROR(__xludf.dummyfunction("""COMPUTED_VALUE"""),2)</f>
        <v>2</v>
      </c>
      <c r="D70" s="0" t="str">
        <f aca="false">IFERROR(__xludf.dummyfunction("""COMPUTED_VALUE"""),"AICI202110-10-4| Presentar informe de los hallazgos a cada comité (01/05/2022 - 31/05/2022)")</f>
        <v>AICI202110-10-4| Presentar informe de los hallazgos a cada comité (01/05/2022 - 31/05/2022)</v>
      </c>
      <c r="E70" s="0" t="str">
        <f aca="false">IFERROR(__xludf.dummyfunction("""COMPUTED_VALUE"""),"No aplica")</f>
        <v>No aplica</v>
      </c>
      <c r="F70" s="0" t="str">
        <f aca="false">IFERROR(__xludf.dummyfunction("""COMPUTED_VALUE"""),"No iniciado")</f>
        <v>No iniciado</v>
      </c>
    </row>
    <row r="71" customFormat="false" ht="14.25" hidden="false" customHeight="false" outlineLevel="0" collapsed="false">
      <c r="A71" s="18" t="str">
        <f aca="false">IFERROR(MID(D71,1,FIND("|",D71)-1)&amp;"-"&amp;C71,"")</f>
        <v>AICI202110-1-2-3</v>
      </c>
      <c r="B71" s="19" t="n">
        <f aca="false">IFERROR(__xludf.dummyfunction("""COMPUTED_VALUE"""),44753)</f>
        <v>44753</v>
      </c>
      <c r="C71" s="0" t="n">
        <f aca="false">IFERROR(__xludf.dummyfunction("""COMPUTED_VALUE"""),3)</f>
        <v>3</v>
      </c>
      <c r="D71" s="0" t="str">
        <f aca="false">IFERROR(__xludf.dummyfunction("""COMPUTED_VALUE"""),"AICI202110-1-2| Actualización de las resoluciones que lo requieran de acuerdo a la normatividad vigente. (15/09/2021 - 30/11/2021)")</f>
        <v>AICI202110-1-2| Actualización de las resoluciones que lo requieran de acuerdo a la normatividad vigente. (15/09/2021 - 30/11/2021)</v>
      </c>
      <c r="E71" s="0" t="str">
        <f aca="false">IFERROR(__xludf.dummyfunction("""COMPUTED_VALUE"""),"Se revisan los soportes y se evidencia: Comité de ética hospitalaria emitió nueva resolución 307 de 2022 y cumple; Comité ética de la investigación cumple con parámetros. Del Comité docencia del servicio se envía resolución 314 de 2017 la cual no ha sido "&amp;"actualizada, no menciona criterios de delegación de asistencia y su diligenciamiento en las actas de comité. El comité de COPASST no envía soportes.  Los demás comités cumplieron en seguimientos anteriores
Se verificaron soportes mencionados pero no se su"&amp;"ben en el drive porque son muy pesados están almacenados en computador juliana/C:\05 AUDITORIAS 2021\AUDITORIA COMITÉS CIENTIFICOTECNICOS MAYO-JUNIO 2021\9 SEGUIMIENTOS PLAN DE MEJORA COMITES\1 PLAN DE MEJORA GENERAL DE COMITES INSTITUCIONALES\3do seg PMJ"&amp;" comités 2021")</f>
        <v>Se revisan los soportes y se evidencia: Comité de ética hospitalaria emitió nueva resolución 307 de 2022 y cumple; Comité ética de la investigación cumple con parámetros. Del Comité docencia del servicio se envía resolución 314 de 2017 la cual no ha sido actualizada, no menciona criterios de delegación de asistencia y su diligenciamiento en las actas de comité. El comité de COPASST no envía soportes.  Los demás comités cumplieron en seguimientos anteriores
Se verificaron soportes mencionados pero no se suben en el drive porque son muy pesados están almacenados en computador juliana/C:\05 AUDITORIAS 2021\AUDITORIA COMITÉS CIENTIFICOTECNICOS MAYO-JUNIO 2021\9 SEGUIMIENTOS PLAN DE MEJORA COMITES\1 PLAN DE MEJORA GENERAL DE COMITES INSTITUCIONALES\3do seg PMJ comités 2021</v>
      </c>
      <c r="F71" s="0" t="str">
        <f aca="false">IFERROR(__xludf.dummyfunction("""COMPUTED_VALUE"""),"Atrasado")</f>
        <v>Atrasado</v>
      </c>
    </row>
    <row r="72" customFormat="false" ht="14.25" hidden="false" customHeight="false" outlineLevel="0" collapsed="false">
      <c r="A72" s="18" t="str">
        <f aca="false">IFERROR(MID(D72,1,FIND("|",D72)-1)&amp;"-"&amp;C72,"")</f>
        <v>AICI202110-1-3-3</v>
      </c>
      <c r="B72" s="19" t="n">
        <f aca="false">IFERROR(__xludf.dummyfunction("""COMPUTED_VALUE"""),44753)</f>
        <v>44753</v>
      </c>
      <c r="C72" s="0" t="n">
        <f aca="false">IFERROR(__xludf.dummyfunction("""COMPUTED_VALUE"""),3)</f>
        <v>3</v>
      </c>
      <c r="D72" s="0" t="str">
        <f aca="false">IFERROR(__xludf.dummyfunction("""COMPUTED_VALUE"""),"AICI202110-1-3| Socialización de las resoluciones actualizadas. (15/09/2021 - 31/12/2021)")</f>
        <v>AICI202110-1-3| Socialización de las resoluciones actualizadas. (15/09/2021 - 31/12/2021)</v>
      </c>
      <c r="E72" s="0" t="str">
        <f aca="false">IFERROR(__xludf.dummyfunction("""COMPUTED_VALUE"""),"Se revisan los soportes y se evidencia del Comité de Ética hospitalaria se presentan soportes de socialización de la resolución 307 de 2022 realizada el 12052022 en comité. Comité docencia servicio resolución no ha realizado ajuste de la resolución acorde"&amp;" a los hallazgos de la auditoría y por lo tanto tampoco hay socialización, Comité ética de la Investigación ya cumplió estos parámetros según informe auditoría, por ello no requiere ajustar ni socializar la resolución nuevamente. El comité de COPASST no e"&amp;"nvió soportes, se anexan soportes. los demás comités ya cumplieron en seguimientos anteriores.")</f>
        <v>Se revisan los soportes y se evidencia del Comité de Ética hospitalaria se presentan soportes de socialización de la resolución 307 de 2022 realizada el 12052022 en comité. Comité docencia servicio resolución no ha realizado ajuste de la resolución acorde a los hallazgos de la auditoría y por lo tanto tampoco hay socialización, Comité ética de la Investigación ya cumplió estos parámetros según informe auditoría, por ello no requiere ajustar ni socializar la resolución nuevamente. El comité de COPASST no envió soportes, se anexan soportes. los demás comités ya cumplieron en seguimientos anteriores.</v>
      </c>
      <c r="F72" s="0" t="str">
        <f aca="false">IFERROR(__xludf.dummyfunction("""COMPUTED_VALUE"""),"Atrasado")</f>
        <v>Atrasado</v>
      </c>
    </row>
    <row r="73" customFormat="false" ht="14.25" hidden="false" customHeight="false" outlineLevel="0" collapsed="false">
      <c r="A73" s="18" t="str">
        <f aca="false">IFERROR(MID(D73,1,FIND("|",D73)-1)&amp;"-"&amp;C73,"")</f>
        <v>AICI202110-3-2-3</v>
      </c>
      <c r="B73" s="19" t="n">
        <f aca="false">IFERROR(__xludf.dummyfunction("""COMPUTED_VALUE"""),44753)</f>
        <v>44753</v>
      </c>
      <c r="C73" s="0" t="n">
        <f aca="false">IFERROR(__xludf.dummyfunction("""COMPUTED_VALUE"""),3)</f>
        <v>3</v>
      </c>
      <c r="D73" s="0" t="str">
        <f aca="false">IFERROR(__xludf.dummyfunction("""COMPUTED_VALUE"""),"AICI202110-3-2| Documentar la inducción y capacitación en los lineamientos actualizados para el funcionamiento ,,, (15/09/2021 - 31/12/2021)")</f>
        <v>AICI202110-3-2| Documentar la inducción y capacitación en los lineamientos actualizados para el funcionamiento ,,, (15/09/2021 - 31/12/2021)</v>
      </c>
      <c r="E73" s="0" t="str">
        <f aca="false">IFERROR(__xludf.dummyfunction("""COMPUTED_VALUE"""),"Se evidencia en los soportes enviados por cada comité que:
Comité docencia del servicio adjunta resolución 314 de 2017, socialización de la resolución, socialización del instructivo
Comité ética hospitalaria anexa acta de comité con fecha 12/25/2022
Comit"&amp;"é ética de investigación anexa actas de los meses de octubre, noviembre y diciembre del año 2021 y del año 2022 de los meses enero, febrero y marzo
El comité de COPASST no reporta evidencias.  Los demás comités cumplieron en seguimientos anteriores.
No se"&amp;" suben todos los soportes porque son muy pesados están almacenados en computador juliana/C:\05 AUDITORIAS 2021\AUDITORIA COMITÉS CIENTIFICOTECNICOS MAYO-JUNIO 2021\9 SEGUIMIENTOS PLAN DE MEJORA COMITES\1 PLAN DE MEJORA GENERAL DE COMITES INSTITUCIONALES\3"&amp;"do seg PMJ comités 2021""")</f>
        <v>Se evidencia en los soportes enviados por cada comité que:
Comité docencia del servicio adjunta resolución 314 de 2017, socialización de la resolución, socialización del instructivo
Comité ética hospitalaria anexa acta de comité con fecha 12/25/2022
Comité ética de investigación anexa actas de los meses de octubre, noviembre y diciembre del año 2021 y del año 2022 de los meses enero, febrero y marzo
El comité de COPASST no reporta evidencias.  Los demás comités cumplieron en seguimientos anteriores.
No se suben todos los soportes porque son muy pesados están almacenados en computador juliana/C:\05 AUDITORIAS 2021\AUDITORIA COMITÉS CIENTIFICOTECNICOS MAYO-JUNIO 2021\9 SEGUIMIENTOS PLAN DE MEJORA COMITES\1 PLAN DE MEJORA GENERAL DE COMITES INSTITUCIONALES\3do seg PMJ comités 2021"</v>
      </c>
      <c r="F73" s="0" t="str">
        <f aca="false">IFERROR(__xludf.dummyfunction("""COMPUTED_VALUE"""),"Atrasado")</f>
        <v>Atrasado</v>
      </c>
    </row>
    <row r="74" customFormat="false" ht="14.25" hidden="false" customHeight="false" outlineLevel="0" collapsed="false">
      <c r="A74" s="18" t="str">
        <f aca="false">IFERROR(MID(D74,1,FIND("|",D74)-1)&amp;"-"&amp;C74,"")</f>
        <v>AICI202110-5-2-3</v>
      </c>
      <c r="B74" s="19" t="n">
        <f aca="false">IFERROR(__xludf.dummyfunction("""COMPUTED_VALUE"""),44753)</f>
        <v>44753</v>
      </c>
      <c r="C74" s="0" t="n">
        <f aca="false">IFERROR(__xludf.dummyfunction("""COMPUTED_VALUE"""),3)</f>
        <v>3</v>
      </c>
      <c r="D74" s="0" t="str">
        <f aca="false">IFERROR(__xludf.dummyfunction("""COMPUTED_VALUE"""),"AICI202110-5-2| Socialización de los documentos actualizados. (15/09/2021 - 30/12/2021)")</f>
        <v>AICI202110-5-2| Socialización de los documentos actualizados. (15/09/2021 - 30/12/2021)</v>
      </c>
      <c r="E74" s="0" t="str">
        <f aca="false">IFERROR(__xludf.dummyfunction("""COMPUTED_VALUE"""),"Se evidencia en los soportes enviados por cada comité que:
Comité Ética de la investigación adjunta acta del 19 de enero 2022 en la cual se hace socialización de instructivo de comités (en estos contenidos se incluye la gestión documental), planes de mejo"&amp;"ra, seguimiento a compromisos y otros temas internos del comité.
Comité ética hospitalaria anexa acta de comité con fecha 12/25/2022 donde socializa institucional de gestión de comités.
Comité Docencia Servicio envío copia de resoluciones y pantallazo de "&amp;"un link de calidad como soporte de la socialización del instructivo de gestión a de comité, pero en el no se aprecia socialización de información relacionada con el tema, por lo tanto no se avala el soporte.
Los Comités GCES, Infecciones e Historias clíni"&amp;"cas ya cumplieron anteriormente con este requisito. Faltan soportes de socialización de lineamientos actualizados por parte de Calidad  a todos los miembros del COPASST, comités de Farmacia, Transfusiones, Vigilancia epidemiológica, Mortalidad Infantil, M"&amp;"ortalidad Materna, Donación, Violencia Sexual.   
NOTA: ES IMPORTANTE TENER EN CUENTA QUE GRAN PARTE DE LOS COMITÉS AUDITADOS CAMBIARON DE PRESIDENTE DELEGADO ASÍ COMO TAMBIEN HUBO CAMBIO DE JEFE DE LA OFICINA DE CALIDAD, POR LOS CAMBIOS DE DIRECTIVOS SUC"&amp;"EDIDOS EN EL ULTIMO MES, POR LO CUAL SE CONSIDERA CONVENIENTE REALIZAR UN PROCESO DE CAPACITACIÓN GENERAL A LOS PRESIDENTES Y SECRETARIOS DE LOS COMITÉS ACORDE A LAS ACCIONES FORMULADAS.
Se anexan soportes. ")</f>
        <v>Se evidencia en los soportes enviados por cada comité que:
Comité Ética de la investigación adjunta acta del 19 de enero 2022 en la cual se hace socialización de instructivo de comités (en estos contenidos se incluye la gestión documental), planes de mejora, seguimiento a compromisos y otros temas internos del comité.
Comité ética hospitalaria anexa acta de comité con fecha 12/25/2022 donde socializa institucional de gestión de comités.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Los Comités GCES, Infecciones e Historias clínicas ya cumplieron anteriormente con este requisito. Faltan soportes de socialización de lineamientos actualizados por parte de Calidad  a todos los miembros del COPASST, comités de Farmacia, Transfusiones, Vigilancia epidemiológica, Mortalidad Infantil, Mortalidad Materna, Donación, Violencia Sexual.   
NOTA: ES IMPORTANTE TENER EN CUENTA QUE GRAN PARTE DE LOS COMITÉS AUDITADOS CAMBIARON DE PRESIDENTE DELEGADO ASÍ COMO TAMBIEN HUBO CAMBIO DE JEFE DE LA OFICINA DE CALIDAD, POR LOS CAMBIOS DE DIRECTIVOS SUCEDIDOS EN EL ULTIMO MES, POR LO CUAL SE CONSIDERA CONVENIENTE REALIZAR UN PROCESO DE CAPACITACIÓN GENERAL A LOS PRESIDENTES Y SECRETARIOS DE LOS COMITÉS ACORDE A LAS ACCIONES FORMULADAS.
Se anexan soportes. </v>
      </c>
      <c r="F74" s="0" t="str">
        <f aca="false">IFERROR(__xludf.dummyfunction("""COMPUTED_VALUE"""),"Atrasado")</f>
        <v>Atrasado</v>
      </c>
    </row>
    <row r="75" customFormat="false" ht="14.25" hidden="false" customHeight="false" outlineLevel="0" collapsed="false">
      <c r="A75" s="18" t="str">
        <f aca="false">IFERROR(MID(D75,1,FIND("|",D75)-1)&amp;"-"&amp;C75,"")</f>
        <v>AICI202110-6-1-3</v>
      </c>
      <c r="B75" s="19" t="n">
        <f aca="false">IFERROR(__xludf.dummyfunction("""COMPUTED_VALUE"""),44753)</f>
        <v>44753</v>
      </c>
      <c r="C75" s="0" t="n">
        <f aca="false">IFERROR(__xludf.dummyfunction("""COMPUTED_VALUE"""),3)</f>
        <v>3</v>
      </c>
      <c r="D75" s="0" t="str">
        <f aca="false">IFERROR(__xludf.dummyfunction("""COMPUTED_VALUE"""),"AICI202110-6-1| Diligenciamiento de las actas de acuerdo a los lineamientos establecidos en el documento … (15/09/2021 - 30/04/2022)")</f>
        <v>AICI202110-6-1| Diligenciamiento de las actas de acuerdo a los lineamientos establecidos en el documento … (15/09/2021 - 30/04/2022)</v>
      </c>
      <c r="E75" s="0" t="str">
        <f aca="false">IFERROR(__xludf.dummyfunction("""COMPUTED_VALUE"""),"Calidad reporta que se cumple con el diligenciamiento de las actas de acuerdo a los lineamientos establecidos para el seguimiento a compromisos derivados de auditorías, comités, unidades de análisis y protocolos de Londres ES-GC-O-05 (ACTAS COMITES) Se ad"&amp;"juntan soportes de actas de los comités de: Ética Hospitalaria, Ética investigación, Materno perinatal, Transfusión sanguínea, Violencia sexual, Docencia servicio. Se adjunta ejemplo de algunas actas. las demás se verificaron y reposan en computador julia"&amp;"na/C:\05 AUDITORIAS 2021\AUDITORIA COMITÉS CI""&amp;""ENTIFICOTECNICOS MAYO-JUNIO 2021\9 SEGUIMIENTOS PLAN DE MEJORA COMITES\1 PLAN DE MEJORA GENERAL DE COMITES INSTITUCIONALES\3do seg PMJ comités 2021. Los comités de vigilacia epidemiológica, Donaciones, y C"&amp;"OPASST no allegaron soportes.")</f>
        <v>Calidad reporta que se cumple con el diligenciamiento de las actas de acuerdo a los lineamientos establecidos para el seguimiento a compromisos derivados de auditorías, comités, unidades de análisis y protocolos de Londres ES-GC-O-05 (ACTAS COMITES) Se adjuntan soportes de actas de los comités de: Ética Hospitalaria, Ética investigación, Materno perinatal, Transfusión sanguínea, Violencia sexual, Docencia servicio. Se adjunta ejemplo de algunas actas. las demás se verificaron y reposan en computador juliana/C:\05 AUDITORIAS 2021\AUDITORIA COMITÉS CI"&amp;"ENTIFICOTECNICOS MAYO-JUNIO 2021\9 SEGUIMIENTOS PLAN DE MEJORA COMITES\1 PLAN DE MEJORA GENERAL DE COMITES INSTITUCIONALES\3do seg PMJ comités 2021. Los comités de vigilacia epidemiológica, Donaciones, y COPASST no allegaron soportes.</v>
      </c>
      <c r="F75" s="0" t="str">
        <f aca="false">IFERROR(__xludf.dummyfunction("""COMPUTED_VALUE"""),"Atrasado")</f>
        <v>Atrasado</v>
      </c>
    </row>
    <row r="76" customFormat="false" ht="14.25" hidden="false" customHeight="false" outlineLevel="0" collapsed="false">
      <c r="A76" s="18" t="str">
        <f aca="false">IFERROR(MID(D76,1,FIND("|",D76)-1)&amp;"-"&amp;C76,"")</f>
        <v>AICI202110-6-2-3</v>
      </c>
      <c r="B76" s="19" t="n">
        <f aca="false">IFERROR(__xludf.dummyfunction("""COMPUTED_VALUE"""),44753)</f>
        <v>44753</v>
      </c>
      <c r="C76" s="0" t="n">
        <f aca="false">IFERROR(__xludf.dummyfunction("""COMPUTED_VALUE"""),3)</f>
        <v>3</v>
      </c>
      <c r="D76" s="0" t="str">
        <f aca="false">IFERROR(__xludf.dummyfunction("""COMPUTED_VALUE"""),"AICI202110-6-2| Actualizar y socializar Herramienta de seguimiento a la Gestión de los Comités ES-GC-F-45. (15/09/2021 - 31/12/2021)")</f>
        <v>AICI202110-6-2| Actualizar y socializar Herramienta de seguimiento a la Gestión de los Comités ES-GC-F-45. (15/09/2021 - 31/12/2021)</v>
      </c>
      <c r="E76" s="0" t="str">
        <f aca="false">IFERROR(__xludf.dummyfunction("""COMPUTED_VALUE"""),"Dentro de los soportes enviados se encuentra el formato ES-GC-F-45-02-Herramienta de seguimiento de la gestión de comités , sin embargo no hay soportes de socialización de la herramienta")</f>
        <v>Dentro de los soportes enviados se encuentra el formato ES-GC-F-45-02-Herramienta de seguimiento de la gestión de comités , sin embargo no hay soportes de socialización de la herramienta</v>
      </c>
      <c r="F76" s="0" t="str">
        <f aca="false">IFERROR(__xludf.dummyfunction("""COMPUTED_VALUE"""),"Atrasado")</f>
        <v>Atrasado</v>
      </c>
    </row>
    <row r="77" customFormat="false" ht="14.25" hidden="false" customHeight="false" outlineLevel="0" collapsed="false">
      <c r="A77" s="18" t="str">
        <f aca="false">IFERROR(MID(D77,1,FIND("|",D77)-1)&amp;"-"&amp;C77,"")</f>
        <v>AICI202110-6-3-3</v>
      </c>
      <c r="B77" s="19" t="n">
        <f aca="false">IFERROR(__xludf.dummyfunction("""COMPUTED_VALUE"""),44753)</f>
        <v>44753</v>
      </c>
      <c r="C77" s="0" t="n">
        <f aca="false">IFERROR(__xludf.dummyfunction("""COMPUTED_VALUE"""),3)</f>
        <v>3</v>
      </c>
      <c r="D77" s="0" t="str">
        <f aca="false">IFERROR(__xludf.dummyfunction("""COMPUTED_VALUE"""),"AICI202110-6-3| Realizar verificación de la calidad de las actas a través del seguimiento realizado por la Oficina de calidad (01/01/2022 - 30/04/2022)")</f>
        <v>AICI202110-6-3| Realizar verificación de la calidad de las actas a través del seguimiento realizado por la Oficina de calidad (01/01/2022 - 30/04/2022)</v>
      </c>
      <c r="E77" s="0" t="str">
        <f aca="false">IFERROR(__xludf.dummyfunction("""COMPUTED_VALUE"""),"Según el formato ES-GC-F-45-02-Herramienta de seguimiento de la gestión de comités se revisaron la calidad de las actas de los comités de  FARMACIA Y TERAPEUTICA, VIGILANCIA EPIDEMIOLOGICA  Y ESTADISTICAS VITALES, TRASFUSION SANGUINEA, CONTROL Y PREVENCIO"&amp;"N DE INFECCIONES ASOCIADAS A LA ATENCION EN SALUD, GESTION CLINICA EXCELENTE Y SEGURA, HISTORIAS CLINICAS, MATERNO INFANTIL,  MATERNO PERINATAL, VIOLENCIA SEXUAL, DONACION DE ORGANOS y MORIR DIGNAMENTE, faltan la verificación en el resto de los comités au"&amp;"ditados.")</f>
        <v>Según el formato ES-GC-F-45-02-Herramienta de seguimiento de la gestión de comités se revisaron la calidad de las actas de los comités de  FARMACIA Y TERAPEUTICA, VIGILANCIA EPIDEMIOLOGICA  Y ESTADISTICAS VITALES, TRASFUSION SANGUINEA, CONTROL Y PREVENCION DE INFECCIONES ASOCIADAS A LA ATENCION EN SALUD, GESTION CLINICA EXCELENTE Y SEGURA, HISTORIAS CLINICAS, MATERNO INFANTIL,  MATERNO PERINATAL, VIOLENCIA SEXUAL, DONACION DE ORGANOS y MORIR DIGNAMENTE, faltan la verificación en el resto de los comités auditados.</v>
      </c>
      <c r="F77" s="0" t="str">
        <f aca="false">IFERROR(__xludf.dummyfunction("""COMPUTED_VALUE"""),"Atrasado")</f>
        <v>Atrasado</v>
      </c>
    </row>
    <row r="78" customFormat="false" ht="14.25" hidden="false" customHeight="false" outlineLevel="0" collapsed="false">
      <c r="A78" s="18" t="str">
        <f aca="false">IFERROR(MID(D78,1,FIND("|",D78)-1)&amp;"-"&amp;C78,"")</f>
        <v>AICI202110-6-4-3</v>
      </c>
      <c r="B78" s="19" t="n">
        <f aca="false">IFERROR(__xludf.dummyfunction("""COMPUTED_VALUE"""),44753)</f>
        <v>44753</v>
      </c>
      <c r="C78" s="0" t="n">
        <f aca="false">IFERROR(__xludf.dummyfunction("""COMPUTED_VALUE"""),3)</f>
        <v>3</v>
      </c>
      <c r="D78" s="0" t="str">
        <f aca="false">IFERROR(__xludf.dummyfunction("""COMPUTED_VALUE"""),"AICI202110-6-4| Presentar informe de los hallazgos a cada comité (01/05/2022 - 31/05/2022)")</f>
        <v>AICI202110-6-4| Presentar informe de los hallazgos a cada comité (01/05/2022 - 31/05/2022)</v>
      </c>
      <c r="E78" s="0" t="str">
        <f aca="false">IFERROR(__xludf.dummyfunction("""COMPUTED_VALUE"""),"No se evidencian soportes para esta acción")</f>
        <v>No se evidencian soportes para esta acción</v>
      </c>
      <c r="F78" s="0" t="str">
        <f aca="false">IFERROR(__xludf.dummyfunction("""COMPUTED_VALUE"""),"Atrasado")</f>
        <v>Atrasado</v>
      </c>
    </row>
    <row r="79" customFormat="false" ht="14.25" hidden="false" customHeight="false" outlineLevel="0" collapsed="false">
      <c r="A79" s="18" t="str">
        <f aca="false">IFERROR(MID(D79,1,FIND("|",D79)-1)&amp;"-"&amp;C79,"")</f>
        <v>AICI202110-7-4-3</v>
      </c>
      <c r="B79" s="19" t="n">
        <f aca="false">IFERROR(__xludf.dummyfunction("""COMPUTED_VALUE"""),44753)</f>
        <v>44753</v>
      </c>
      <c r="C79" s="0" t="n">
        <f aca="false">IFERROR(__xludf.dummyfunction("""COMPUTED_VALUE"""),3)</f>
        <v>3</v>
      </c>
      <c r="D79" s="0" t="str">
        <f aca="false">IFERROR(__xludf.dummyfunction("""COMPUTED_VALUE"""),"AICI202110-7-4| Presentar informe de los hallazgos a cada comité (01/05/2022 - 31/05/2022)")</f>
        <v>AICI202110-7-4| Presentar informe de los hallazgos a cada comité (01/05/2022 - 31/05/2022)</v>
      </c>
      <c r="E79" s="0" t="str">
        <f aca="false">IFERROR(__xludf.dummyfunction("""COMPUTED_VALUE"""),"Para el periodo de verificación del seguimiento no se reciben avances y/o soportes para esta acción")</f>
        <v>Para el periodo de verificación del seguimiento no se reciben avances y/o soportes para esta acción</v>
      </c>
      <c r="F79" s="0" t="str">
        <f aca="false">IFERROR(__xludf.dummyfunction("""COMPUTED_VALUE"""),"Atrasado")</f>
        <v>Atrasado</v>
      </c>
    </row>
    <row r="80" customFormat="false" ht="14.25" hidden="false" customHeight="false" outlineLevel="0" collapsed="false">
      <c r="A80" s="18" t="str">
        <f aca="false">IFERROR(MID(D80,1,FIND("|",D80)-1)&amp;"-"&amp;C80,"")</f>
        <v>AICI202110-8-2-3</v>
      </c>
      <c r="B80" s="19" t="n">
        <f aca="false">IFERROR(__xludf.dummyfunction("""COMPUTED_VALUE"""),44753)</f>
        <v>44753</v>
      </c>
      <c r="C80" s="0" t="n">
        <f aca="false">IFERROR(__xludf.dummyfunction("""COMPUTED_VALUE"""),3)</f>
        <v>3</v>
      </c>
      <c r="D80" s="0" t="str">
        <f aca="false">IFERROR(__xludf.dummyfunction("""COMPUTED_VALUE"""),"AICI202110-8-2| Socialización periódica y puntual de los compromisos a los responsables derivados de los comités (15/09/2021 - 30/04/2022)")</f>
        <v>AICI202110-8-2| Socialización periódica y puntual de los compromisos a los responsables derivados de los comités (15/09/2021 - 30/04/2022)</v>
      </c>
      <c r="E80" s="0" t="str">
        <f aca="false">IFERROR(__xludf.dummyfunction("""COMPUTED_VALUE"""),"Calidad realiza revisión y refiere que la socialización periódica de los compromisos adquiridos se realiza durante las reuniones y actas derivados de los comités institucionales. Se adjuntan actas docencia servicio, ética hospitalaria, ética investigación"&amp;", farmacia, transfusiónes, historias clínicas, violencia sexual, materno infantil, materno perinatal, IAAS y GCES.  Se evidencian 11 comités con los soportes anexos
historias clínicas - acta de Reunión de octubre y noviembre 2021, Docencia servicio- resol"&amp;"ución 314 de 2017, socialización de la resolución, 
Ética hospitalaria-acta de comité 12/05/2022, INSTRUCTIVO GESTIÓN DE LOS COMITÉS INSTITUCIONALES
ética investigación- actas de reuniones ordinarias de los meses de octubre, noviembre y diciembre del año "&amp;"2021; actas de los meses de enero, febrero y marzo de 2022
farmacia- actas de los meses de febrero, diciembre 20 y 21 y marzo 2022
Gestión clínica- acta de Reunión de febrero de 2022
Control y prevención de infección-acta de diciembre 2021, actas de los m"&amp;"eses enero, febrero 2022
materno infantil-actas de enero y febrero 2022
materno perinatal-actas de abril y octubre 2021; enero y febrero 2022
transfusión sanguínea-acta del 12 de octubre 2021
violencia sexual-acta de27 de  enero  2022
Para los comités de "&amp;"vigilancia epidemiológica, donación y trasplantes, COPASST no presentan soportes para esta acción
Todos los soportes no se suben porque son muy pesados están almacenados en computador juliana/C:\05 AUDITORIAS 2021\AUDITORIA COMITÉS CIENTIFICOTECNICOS MAYO"&amp;"-JUNIO 2021\9 SEGUIMIENTOS PLAN DE MEJORA COMITES\1 PLAN DE MEJORA GENERAL DE COMITES INSTITUCIONALES\3seg PMJ comités 2021
")</f>
        <v>Calidad realiza revisión y refiere que la socialización periódica de los compromisos adquiridos se realiza durante las reuniones y actas derivados de los comités institucionales. Se adjuntan actas docencia servicio, ética hospitalaria, ética investigación, farmacia, transfusiónes, historias clínicas, violencia sexual, materno infantil, materno perinatal, IAAS y GCES.  Se evidencian 11 comités con los soportes anexos
historias clínicas - acta de Reunión de octubre y noviembre 2021, Docencia servicio- resolución 314 de 2017, socialización de la resolución, 
Ética hospitalaria-acta de comité 12/05/2022, INSTRUCTIVO GESTIÓN DE LOS COMITÉS INSTITUCIONALES
ética investigación- actas de reuniones ordinarias de los meses de octubre, noviembre y diciembre del año 2021; actas de los meses de enero, febrero y marzo de 2022
farmacia- actas de los meses de febrero, diciembre 20 y 21 y marzo 2022
Gestión clínica- acta de Reunión de febrero de 2022
Control y prevención de infección-acta de diciembre 2021, actas de los meses enero, febrero 2022
materno infantil-actas de enero y febrero 2022
materno perinatal-actas de abril y octubre 2021; enero y febrero 2022
transfusión sanguínea-acta del 12 de octubre 2021
violencia sexual-acta de27 de  enero  2022
Para los comités de vigilancia epidemiológica, donación y trasplantes, COPASST no presentan soportes para esta acción
Todos los soportes no se suben porque son muy pesados están almacenados en computador juliana/C:\05 AUDITORIAS 2021\AUDITORIA COMITÉS CIENTIFICOTECNICOS MAYO-JUNIO 2021\9 SEGUIMIENTOS PLAN DE MEJORA COMITES\1 PLAN DE MEJORA GENERAL DE COMITES INSTITUCIONALES\3seg PMJ comités 2021
</v>
      </c>
      <c r="F80" s="0" t="str">
        <f aca="false">IFERROR(__xludf.dummyfunction("""COMPUTED_VALUE"""),"Atrasado")</f>
        <v>Atrasado</v>
      </c>
    </row>
    <row r="81" customFormat="false" ht="14.25" hidden="false" customHeight="false" outlineLevel="0" collapsed="false">
      <c r="A81" s="18" t="str">
        <f aca="false">IFERROR(MID(D81,1,FIND("|",D81)-1)&amp;"-"&amp;C81,"")</f>
        <v>AICI202110-8-4-3</v>
      </c>
      <c r="B81" s="19" t="n">
        <f aca="false">IFERROR(__xludf.dummyfunction("""COMPUTED_VALUE"""),44753)</f>
        <v>44753</v>
      </c>
      <c r="C81" s="0" t="n">
        <f aca="false">IFERROR(__xludf.dummyfunction("""COMPUTED_VALUE"""),3)</f>
        <v>3</v>
      </c>
      <c r="D81" s="0" t="str">
        <f aca="false">IFERROR(__xludf.dummyfunction("""COMPUTED_VALUE"""),"AICI202110-8-4| Realizar verificación de la calidad de las actas a través del seguimiento realizado por la Oficina de Calidad (15/09/2021 - 30/04/2022)")</f>
        <v>AICI202110-8-4| Realizar verificación de la calidad de las actas a través del seguimiento realizado por la Oficina de Calidad (15/09/2021 - 30/04/2022)</v>
      </c>
      <c r="E81" s="0" t="str">
        <f aca="false">IFERROR(__xludf.dummyfunction("""COMPUTED_VALUE"""),"Según el formato ES-GC-F-45-02-Herramienta de seguimiento de la gestión de comités se revisaron la calidad de las actas de los comités de  FARMACIA Y TERAPEUTICA, VIGILANCIA EPIDEMIOLOGICA  Y ESTADISTICAS VITALES, TRASFUSION SANGUINEA, CONTROL Y PREVENCIO"&amp;"N DE INFECCIONES ASOCIADAS A LA ATENCION EN SALUD, GESTION CLINICA EXCELENTE Y SEGURA, HISTORIAS CLINICAS, MATERNO INFANTIL,  MATERNO PERINATAL, VIOLENCIA SEXUAL, DONACION DE ORGANOS y MORIR DIGNAMENTE, faltan la verificación de los comités de Ética en la"&amp;" investigación, Docencia servicio, Ética hospitalaria y comité Paritario de seguridad.")</f>
        <v>Según el formato ES-GC-F-45-02-Herramienta de seguimiento de la gestión de comités se revisaron la calidad de las actas de los comités de  FARMACIA Y TERAPEUTICA, VIGILANCIA EPIDEMIOLOGICA  Y ESTADISTICAS VITALES, TRASFUSION SANGUINEA, CONTROL Y PREVENCION DE INFECCIONES ASOCIADAS A LA ATENCION EN SALUD, GESTION CLINICA EXCELENTE Y SEGURA, HISTORIAS CLINICAS, MATERNO INFANTIL,  MATERNO PERINATAL, VIOLENCIA SEXUAL, DONACION DE ORGANOS y MORIR DIGNAMENTE, faltan la verificación de los comités de Ética en la investigación, Docencia servicio, Ética hospitalaria y comité Paritario de seguridad.</v>
      </c>
      <c r="F81" s="0" t="str">
        <f aca="false">IFERROR(__xludf.dummyfunction("""COMPUTED_VALUE"""),"Atrasado")</f>
        <v>Atrasado</v>
      </c>
    </row>
    <row r="82" customFormat="false" ht="14.25" hidden="false" customHeight="false" outlineLevel="0" collapsed="false">
      <c r="A82" s="18" t="str">
        <f aca="false">IFERROR(MID(D82,1,FIND("|",D82)-1)&amp;"-"&amp;C82,"")</f>
        <v>AICI202110-8-5-3</v>
      </c>
      <c r="B82" s="19" t="n">
        <f aca="false">IFERROR(__xludf.dummyfunction("""COMPUTED_VALUE"""),44753)</f>
        <v>44753</v>
      </c>
      <c r="C82" s="0" t="n">
        <f aca="false">IFERROR(__xludf.dummyfunction("""COMPUTED_VALUE"""),3)</f>
        <v>3</v>
      </c>
      <c r="D82" s="0" t="str">
        <f aca="false">IFERROR(__xludf.dummyfunction("""COMPUTED_VALUE"""),"AICI202110-8-5| Presentar informe de los hallazgos a cada comité (01/05/2022 - 31/05/2022)")</f>
        <v>AICI202110-8-5| Presentar informe de los hallazgos a cada comité (01/05/2022 - 31/05/2022)</v>
      </c>
      <c r="E82" s="0" t="str">
        <f aca="false">IFERROR(__xludf.dummyfunction("""COMPUTED_VALUE"""),"No se evidencian soportes para esta acción")</f>
        <v>No se evidencian soportes para esta acción</v>
      </c>
      <c r="F82" s="0" t="str">
        <f aca="false">IFERROR(__xludf.dummyfunction("""COMPUTED_VALUE"""),"Atrasado")</f>
        <v>Atrasado</v>
      </c>
    </row>
    <row r="83" customFormat="false" ht="14.25" hidden="false" customHeight="false" outlineLevel="0" collapsed="false">
      <c r="A83" s="18" t="str">
        <f aca="false">IFERROR(MID(D83,1,FIND("|",D83)-1)&amp;"-"&amp;C83,"")</f>
        <v>AICI202110-9-2-3</v>
      </c>
      <c r="B83" s="19" t="n">
        <f aca="false">IFERROR(__xludf.dummyfunction("""COMPUTED_VALUE"""),44753)</f>
        <v>44753</v>
      </c>
      <c r="C83" s="0" t="n">
        <f aca="false">IFERROR(__xludf.dummyfunction("""COMPUTED_VALUE"""),3)</f>
        <v>3</v>
      </c>
      <c r="D83" s="0" t="str">
        <f aca="false">IFERROR(__xludf.dummyfunction("""COMPUTED_VALUE"""),"AICI202110-9-2| elaboración y presentación del informe ejecutivo anual en la primera reunión del año de cada comité (01/02/2022 - 28/02/2022)")</f>
        <v>AICI202110-9-2| elaboración y presentación del informe ejecutivo anual en la primera reunión del año de cada comité (01/02/2022 - 28/02/2022)</v>
      </c>
      <c r="E83" s="0" t="str">
        <f aca="false">IFERROR(__xludf.dummyfunction("""COMPUTED_VALUE"""),"Se evidencia informe de gestión anual correspondiente al año 2021 del comité ética investigación, comité de transfusión adjunta informe de gestión, comité violencia sexual como evidencia anexa informe ejecutivo anual 2021, comité historias clínicas adjunt"&amp;"a informe anual 2021. Se anexan soportes. Los comités de farmacia, vigilancia epidemiológica, Donación, Ética hospitalaria, Docencia Servicio y COPASST no presentan soportes.")</f>
        <v>Se evidencia informe de gestión anual correspondiente al año 2021 del comité ética investigación, comité de transfusión adjunta informe de gestión, comité violencia sexual como evidencia anexa informe ejecutivo anual 2021, comité historias clínicas adjunta informe anual 2021. Se anexan soportes. Los comités de farmacia, vigilancia epidemiológica, Donación, Ética hospitalaria, Docencia Servicio y COPASST no presentan soportes.</v>
      </c>
      <c r="F83" s="0" t="str">
        <f aca="false">IFERROR(__xludf.dummyfunction("""COMPUTED_VALUE"""),"Atrasado")</f>
        <v>Atrasado</v>
      </c>
    </row>
    <row r="84" customFormat="false" ht="14.25" hidden="false" customHeight="false" outlineLevel="0" collapsed="false">
      <c r="A84" s="18" t="str">
        <f aca="false">IFERROR(MID(D84,1,FIND("|",D84)-1)&amp;"-"&amp;C84,"")</f>
        <v>AICI202110-9-3-3</v>
      </c>
      <c r="B84" s="19" t="n">
        <f aca="false">IFERROR(__xludf.dummyfunction("""COMPUTED_VALUE"""),44753)</f>
        <v>44753</v>
      </c>
      <c r="C84" s="0" t="n">
        <f aca="false">IFERROR(__xludf.dummyfunction("""COMPUTED_VALUE"""),3)</f>
        <v>3</v>
      </c>
      <c r="D84" s="0" t="str">
        <f aca="false">IFERROR(__xludf.dummyfunction("""COMPUTED_VALUE"""),"AICI202110-9-3| Remisión del informe a gestión de calidad para consolidación, análisis y recomendaciones … (01/02/2022 - 28/02/2022)")</f>
        <v>AICI202110-9-3| Remisión del informe a gestión de calidad para consolidación, análisis y recomendaciones … (01/02/2022 - 28/02/2022)</v>
      </c>
      <c r="E84" s="0" t="str">
        <f aca="false">IFERROR(__xludf.dummyfunction("""COMPUTED_VALUE"""),"Se evidenció correo remisorio del informe de comité de ética de la Investigación.  Los comités de historias clínicas, farmacia, transfusiones, vigilancia epidemiológica, mortalidad infantil, mortalidad materna,  infecciones, GCES, Donación Violencia Sexua"&amp;"l, Ética hospitalaria, Docencia Servicio, COPASST no presentan soportes de la acción.")</f>
        <v>Se evidenció correo remisorio del informe de comité de ética de la Investigación.  Los comités de historias clínicas, farmacia, transfusiones, vigilancia epidemiológica, mortalidad infantil, mortalidad materna,  infecciones, GCES, Donación Violencia Sexual, Ética hospitalaria, Docencia Servicio, COPASST no presentan soportes de la acción.</v>
      </c>
      <c r="F84" s="0" t="str">
        <f aca="false">IFERROR(__xludf.dummyfunction("""COMPUTED_VALUE"""),"Atrasado")</f>
        <v>Atrasado</v>
      </c>
    </row>
    <row r="85" customFormat="false" ht="14.25" hidden="false" customHeight="false" outlineLevel="0" collapsed="false">
      <c r="A85" s="18" t="str">
        <f aca="false">IFERROR(MID(D85,1,FIND("|",D85)-1)&amp;"-"&amp;C85,"")</f>
        <v>AICI202110-9-4-3</v>
      </c>
      <c r="B85" s="19" t="n">
        <f aca="false">IFERROR(__xludf.dummyfunction("""COMPUTED_VALUE"""),44753)</f>
        <v>44753</v>
      </c>
      <c r="C85" s="0" t="n">
        <f aca="false">IFERROR(__xludf.dummyfunction("""COMPUTED_VALUE"""),3)</f>
        <v>3</v>
      </c>
      <c r="D85" s="0" t="str">
        <f aca="false">IFERROR(__xludf.dummyfunction("""COMPUTED_VALUE"""),"AICI202110-9-4| Elaboración y presentación de informe consolidado que incluya análisis y recomendaciones ... (01/02/2022 - 28/02/2022)")</f>
        <v>AICI202110-9-4| Elaboración y presentación de informe consolidado que incluya análisis y recomendaciones ... (01/02/2022 - 28/02/2022)</v>
      </c>
      <c r="E85" s="0" t="str">
        <f aca="false">IFERROR(__xludf.dummyfunction("""COMPUTED_VALUE"""),"No se evidencia la evaluación de la  totalidad de los comités verificados durante la auditoría, faltando los comités de ética en la investigación, docencia servicio, ética hospitalaria y comité paritario de seguridad.")</f>
        <v>No se evidencia la evaluación de la  totalidad de los comités verificados durante la auditoría, faltando los comités de ética en la investigación, docencia servicio, ética hospitalaria y comité paritario de seguridad.</v>
      </c>
      <c r="F85" s="0" t="str">
        <f aca="false">IFERROR(__xludf.dummyfunction("""COMPUTED_VALUE"""),"Atrasado")</f>
        <v>Atrasado</v>
      </c>
    </row>
    <row r="86" customFormat="false" ht="14.25" hidden="false" customHeight="false" outlineLevel="0" collapsed="false">
      <c r="A86" s="18" t="str">
        <f aca="false">IFERROR(MID(D86,1,FIND("|",D86)-1)&amp;"-"&amp;C86,"")</f>
        <v>AICI202110-10-3-3</v>
      </c>
      <c r="B86" s="19" t="n">
        <f aca="false">IFERROR(__xludf.dummyfunction("""COMPUTED_VALUE"""),44753)</f>
        <v>44753</v>
      </c>
      <c r="C86" s="0" t="n">
        <f aca="false">IFERROR(__xludf.dummyfunction("""COMPUTED_VALUE"""),3)</f>
        <v>3</v>
      </c>
      <c r="D86" s="0" t="str">
        <f aca="false">IFERROR(__xludf.dummyfunction("""COMPUTED_VALUE"""),"AICI202110-10-3| Realizar verificación del manejo y custodia del archivo de los comités a través de la … (01/01/2022 - 30/04/2022)")</f>
        <v>AICI202110-10-3| Realizar verificación del manejo y custodia del archivo de los comités a través de la … (01/01/2022 - 30/04/2022)</v>
      </c>
      <c r="E86" s="0" t="str">
        <f aca="false">IFERROR(__xludf.dummyfunction("""COMPUTED_VALUE"""),"No se evidencia ningún soporte que permita sustentar la verificación del manejo y custodia del archivo de  los comités por parte de calidad, se adjunta herramienta de seguimiento para 10 comités únicamente e informe a comités institucionales con el mismo "&amp;"número de comités. ")</f>
        <v>No se evidencia ningún soporte que permita sustentar la verificación del manejo y custodia del archivo de  los comités por parte de calidad, se adjunta herramienta de seguimiento para 10 comités únicamente e informe a comités institucionales con el mismo número de comités. </v>
      </c>
      <c r="F86" s="0" t="str">
        <f aca="false">IFERROR(__xludf.dummyfunction("""COMPUTED_VALUE"""),"Atrasado")</f>
        <v>Atrasado</v>
      </c>
    </row>
    <row r="87" customFormat="false" ht="14.25" hidden="false" customHeight="false" outlineLevel="0" collapsed="false">
      <c r="A87" s="18" t="str">
        <f aca="false">IFERROR(MID(D87,1,FIND("|",D87)-1)&amp;"-"&amp;C87,"")</f>
        <v>AICI202110-10-4-3</v>
      </c>
      <c r="B87" s="19" t="n">
        <f aca="false">IFERROR(__xludf.dummyfunction("""COMPUTED_VALUE"""),44753)</f>
        <v>44753</v>
      </c>
      <c r="C87" s="0" t="n">
        <f aca="false">IFERROR(__xludf.dummyfunction("""COMPUTED_VALUE"""),3)</f>
        <v>3</v>
      </c>
      <c r="D87" s="0" t="str">
        <f aca="false">IFERROR(__xludf.dummyfunction("""COMPUTED_VALUE"""),"AICI202110-10-4| Presentar informe de los hallazgos a cada comité (01/05/2022 - 31/05/2022)")</f>
        <v>AICI202110-10-4| Presentar informe de los hallazgos a cada comité (01/05/2022 - 31/05/2022)</v>
      </c>
      <c r="E87" s="0" t="str">
        <f aca="false">IFERROR(__xludf.dummyfunction("""COMPUTED_VALUE"""),"para el periodo de verificación del seguimiento no se reciben avances y/o soportes para esta acción")</f>
        <v>para el periodo de verificación del seguimiento no se reciben avances y/o soportes para esta acción</v>
      </c>
      <c r="F87" s="0" t="str">
        <f aca="false">IFERROR(__xludf.dummyfunction("""COMPUTED_VALUE"""),"Atrasado")</f>
        <v>Atrasado</v>
      </c>
    </row>
    <row r="88" customFormat="false" ht="14.25" hidden="false" customHeight="false" outlineLevel="0" collapsed="false">
      <c r="A88" s="18" t="str">
        <f aca="false">IFERROR(MID(D88,1,FIND("|",D88)-1)&amp;"-"&amp;C88,"")</f>
        <v>AICI202110-1-1-3</v>
      </c>
      <c r="B88" s="19" t="n">
        <f aca="false">IFERROR(__xludf.dummyfunction("""COMPUTED_VALUE"""),44753)</f>
        <v>44753</v>
      </c>
      <c r="C88" s="0" t="n">
        <f aca="false">IFERROR(__xludf.dummyfunction("""COMPUTED_VALUE"""),3)</f>
        <v>3</v>
      </c>
      <c r="D88" s="0" t="str">
        <f aca="false">IFERROR(__xludf.dummyfunction("""COMPUTED_VALUE"""),"AICI202110-1-1| Revisión de las normatividad aplicable vigente a cada comité. (15/09/2021 - 30/11/2021)")</f>
        <v>AICI202110-1-1| Revisión de las normatividad aplicable vigente a cada comité. (15/09/2021 - 30/11/2021)</v>
      </c>
      <c r="E88" s="0" t="str">
        <f aca="false">IFERROR(__xludf.dummyfunction("""COMPUTED_VALUE"""),"Se revisan los soportes y se evidencia: Comité de ética hospitalaria emitió nueva resolución 307 de 2022 y cumple; Comité ética de la investigación cumple con parámetros. Del Comité docencia del servicio se envía resolución 314 de 2017 la cual no ha sido "&amp;"actualizada, no menciona criterios de delegación de asistencia y su diligenciamiento en las actas de comité. El comité de COPASST no envía soportes.  Los demás comités cumplieron en seguimientos anteriores
Se verificaron soportes mencionados pero no se su"&amp;"ben en el drive porque son muy pesados están almacenados en computador juliana/C:\05 AUDITORIAS 2021\AUDITORIA COMITÉS CI""&amp;""ENTIFICOTECNICOS MAYO-JUNIO 2021\9 SEGUIMIENTOS PLAN DE MEJORA COMITES\1 PLAN DE MEJORA GENERAL DE COMITES INSTITUCIONALES\3do se"&amp;"g PMJ comités 2021""")</f>
        <v>Se revisan los soportes y se evidencia: Comité de ética hospitalaria emitió nueva resolución 307 de 2022 y cumple; Comité ética de la investigación cumple con parámetros. Del Comité docencia del servicio se envía resolución 314 de 2017 la cual no ha sido actualizada, no menciona criterios de delegación de asistencia y su diligenciamiento en las actas de comité. El comité de COPASST no envía soportes.  Los demás comités cumplieron en seguimientos anteriores
Se verificaron soportes mencionados pero no se suben en el drive porque son muy pesados están almacenados en computador juliana/C:\05 AUDITORIAS 2021\AUDITORIA COMITÉS CI"&amp;"ENTIFICOTECNICOS MAYO-JUNIO 2021\9 SEGUIMIENTOS PLAN DE MEJORA COMITES\1 PLAN DE MEJORA GENERAL DE COMITES INSTITUCIONALES\3do seg PMJ comités 2021"</v>
      </c>
      <c r="F88" s="0" t="str">
        <f aca="false">IFERROR(__xludf.dummyfunction("""COMPUTED_VALUE"""),"Atrasado")</f>
        <v>Atrasado</v>
      </c>
    </row>
    <row r="89" customFormat="false" ht="14.25" hidden="false" customHeight="false" outlineLevel="0" collapsed="false">
      <c r="A89" s="18" t="str">
        <f aca="false">IFERROR(MID(D89,1,FIND("|",D89)-1)&amp;"-"&amp;C89,"")</f>
        <v>AICI202110-2-1-3</v>
      </c>
      <c r="B89" s="19" t="n">
        <f aca="false">IFERROR(__xludf.dummyfunction("""COMPUTED_VALUE"""),44753)</f>
        <v>44753</v>
      </c>
      <c r="C89" s="0" t="n">
        <f aca="false">IFERROR(__xludf.dummyfunction("""COMPUTED_VALUE"""),3)</f>
        <v>3</v>
      </c>
      <c r="D89" s="0" t="str">
        <f aca="false">IFERROR(__xludf.dummyfunction("""COMPUTED_VALUE"""),"AICI202110-2-1| Revisión de las funciones de los miembros de los comités contenidas en las resoluciones vigentes (15/09/2021 - 30/11/2021)")</f>
        <v>AICI202110-2-1| Revisión de las funciones de los miembros de los comités contenidas en las resoluciones vigentes (15/09/2021 - 30/11/2021)</v>
      </c>
      <c r="E89" s="0" t="str">
        <f aca="false">IFERROR(__xludf.dummyfunction("""COMPUTED_VALUE"""),"Comité de Ética Hospitalaria: Se evidencia resolución 307 de 2022 en la cual están descritas las funciones de los miembros del comité. De los comités de ética de la Investigación y Docencia Servicios se enviaron resoluciones, pero no se evidencia soporte "&amp;"de que se haya realizado la revisión de las funciones tal como lo indica la acción formulada.
COPASST no envío soportes. los demás comités cumplieron de acuerdo al hallazgo reportado en los seguimientos anteriores.
Se anexan soportes")</f>
        <v>Comité de Ética Hospitalaria: Se evidencia resolución 307 de 2022 en la cual están descritas las funciones de los miembros del comité. De los comités de ética de la Investigación y Docencia Servicios se enviaron resoluciones, pero no se evidencia soporte de que se haya realizado la revisión de las funciones tal como lo indica la acción formulada.
COPASST no envío soportes. los demás comités cumplieron de acuerdo al hallazgo reportado en los seguimientos anteriores.
Se anexan soportes</v>
      </c>
      <c r="F89" s="0" t="str">
        <f aca="false">IFERROR(__xludf.dummyfunction("""COMPUTED_VALUE"""),"Atrasado")</f>
        <v>Atrasado</v>
      </c>
    </row>
    <row r="90" customFormat="false" ht="14.25" hidden="false" customHeight="false" outlineLevel="0" collapsed="false">
      <c r="A90" s="18" t="str">
        <f aca="false">IFERROR(MID(D90,1,FIND("|",D90)-1)&amp;"-"&amp;C90,"")</f>
        <v>AICI202110-2-2-3</v>
      </c>
      <c r="B90" s="19" t="n">
        <f aca="false">IFERROR(__xludf.dummyfunction("""COMPUTED_VALUE"""),44753)</f>
        <v>44753</v>
      </c>
      <c r="C90" s="0" t="n">
        <f aca="false">IFERROR(__xludf.dummyfunction("""COMPUTED_VALUE"""),3)</f>
        <v>3</v>
      </c>
      <c r="D90" s="0" t="str">
        <f aca="false">IFERROR(__xludf.dummyfunction("""COMPUTED_VALUE"""),"AICI202110-2-2| Actualización de las resoluciones que lo requieran de acuerdo a la revisión realizada. (15/09/2021 - 30/11/2021)")</f>
        <v>AICI202110-2-2| Actualización de las resoluciones que lo requieran de acuerdo a la revisión realizada. (15/09/2021 - 30/11/2021)</v>
      </c>
      <c r="E90" s="0" t="str">
        <f aca="false">IFERROR(__xludf.dummyfunction("""COMPUTED_VALUE"""),"Comité de Ética Hospitalaria: Se evidencia resolución 307 de 2022 en la cual están descritas las funciones de los miembros del comité. De los comités de ética de la Investigación y Docencia Servicios no cumple, se enviaron resoluciones, pero no se evidenc"&amp;"ia soporte de que se haya realizado la revisión de las funciones tal como lo indica la acción formulada. COPASST no envío soportes. Los demás comités cumplieron en seguimientos anteriores, de acuerdo a hallazgos.
Se anexan soportes ")</f>
        <v>Comité de Ética Hospitalaria: Se evidencia resolución 307 de 2022 en la cual están descritas las funciones de los miembros del comité. De los comités de ética de la Investigación y Docencia Servicios no cumple, se enviaron resoluciones, pero no se evidencia soporte de que se haya realizado la revisión de las funciones tal como lo indica la acción formulada. COPASST no envío soportes. Los demás comités cumplieron en seguimientos anteriores, de acuerdo a hallazgos.
Se anexan soportes </v>
      </c>
      <c r="F90" s="0" t="str">
        <f aca="false">IFERROR(__xludf.dummyfunction("""COMPUTED_VALUE"""),"Atrasado")</f>
        <v>Atrasado</v>
      </c>
    </row>
    <row r="91" customFormat="false" ht="14.25" hidden="false" customHeight="false" outlineLevel="0" collapsed="false">
      <c r="A91" s="18" t="str">
        <f aca="false">IFERROR(MID(D91,1,FIND("|",D91)-1)&amp;"-"&amp;C91,"")</f>
        <v>AICI202110-2-3-3</v>
      </c>
      <c r="B91" s="19" t="n">
        <f aca="false">IFERROR(__xludf.dummyfunction("""COMPUTED_VALUE"""),44753)</f>
        <v>44753</v>
      </c>
      <c r="C91" s="0" t="n">
        <f aca="false">IFERROR(__xludf.dummyfunction("""COMPUTED_VALUE"""),3)</f>
        <v>3</v>
      </c>
      <c r="D91" s="0" t="str">
        <f aca="false">IFERROR(__xludf.dummyfunction("""COMPUTED_VALUE"""),"AICI202110-2-3| Socialización de las resoluciones actualizadas (15/09/2021 - 31/12/2021)")</f>
        <v>AICI202110-2-3| Socialización de las resoluciones actualizadas (15/09/2021 - 31/12/2021)</v>
      </c>
      <c r="E91" s="0" t="str">
        <f aca="false">IFERROR(__xludf.dummyfunction("""COMPUTED_VALUE"""),"Se evidencia Comité ética hospitalaria realizó socialización de la nueva resolución del comité con funciones el día 12/05/2022 se anexa soporte
Comité ética de la Investigación y Docencia Servicio enviaron resoluciones, más no soportes de revisión de func"&amp;"iones y por lo tanto no se pudo establecer si se requería ajuste y socialización. No cumple. COPASST no envió soportes. Los demás comités cumplieron en seguimientos anteriores.")</f>
        <v>Se evidencia Comité ética hospitalaria realizó socialización de la nueva resolución del comité con funciones el día 12/05/2022 se anexa soporte
Comité ética de la Investigación y Docencia Servicio enviaron resoluciones, más no soportes de revisión de funciones y por lo tanto no se pudo establecer si se requería ajuste y socialización. No cumple. COPASST no envió soportes. Los demás comités cumplieron en seguimientos anteriores.</v>
      </c>
      <c r="F91" s="0" t="str">
        <f aca="false">IFERROR(__xludf.dummyfunction("""COMPUTED_VALUE"""),"Atrasado")</f>
        <v>Atrasado</v>
      </c>
    </row>
    <row r="92" customFormat="false" ht="14.25" hidden="false" customHeight="false" outlineLevel="0" collapsed="false">
      <c r="A92" s="18" t="str">
        <f aca="false">IFERROR(MID(D92,1,FIND("|",D92)-1)&amp;"-"&amp;C92,"")</f>
        <v>AICI202110-4-2-3</v>
      </c>
      <c r="B92" s="19" t="n">
        <f aca="false">IFERROR(__xludf.dummyfunction("""COMPUTED_VALUE"""),44753)</f>
        <v>44753</v>
      </c>
      <c r="C92" s="0" t="n">
        <f aca="false">IFERROR(__xludf.dummyfunction("""COMPUTED_VALUE"""),3)</f>
        <v>3</v>
      </c>
      <c r="D92" s="0" t="str">
        <f aca="false">IFERROR(__xludf.dummyfunction("""COMPUTED_VALUE"""),"AICI202110-4-2| Socialización del documento actualizado. (15/09/2021 - 31/12/2021)")</f>
        <v>AICI202110-4-2| Socialización del documento actualizado. (15/09/2021 - 31/12/2021)</v>
      </c>
      <c r="E92" s="0" t="str">
        <f aca="false">IFERROR(__xludf.dummyfunction("""COMPUTED_VALUE"""),"Se evidencia en los soportes enviados por cada comité que:
Comité Ética de la investigación adjunta acta del 19 de enero 2022 en la cual se hace socialización de instructivo de comités (en estos contenidos se incluye la gestión documental), planes de mejo"&amp;"ra, seguimiento a compromisos y otros temas internos del comité. Se anexan soportes
Comité ética hospitalaria anexa acta de comité con fecha 12/25/2022 donde socializa institucional de gestión de comités. Se anexan soportes.
Comité Docencia Servicio envío"&amp;" copia de resoluciones y pantallazo de un link de calidad como soporte de la socialización del instructivo de gestión a de comité, pero en el no se aprecia socialización de información relacionada con el tema, por lo tanto no se avala el soporte.
Los Comi"&amp;"tés GCES, Infecciones e Historias clínicas ya cumplieron anteriormente con este requisito. Faltan soportes de socialización de lineamientos actualizados para el funcionamiento de los comités institucionales y la custodia de los archivos magnéticos y físic"&amp;"os por parte de Calidad a los miembros de los comités de COPASST, Farmacia, Transfusiones, Vigilancia epidemiológica, Mortalidad Infantil, Mortalidad Materna, Donación, Violencia Sexual.   
NOTA: ES IMPORTANTE TENER EN CUENTA QUE GRAN PARTE DE LOS COMITÉS"&amp;" AUDITADOS CAMBIARON DE PRESIDENTE DELEGADO ASÍ COMO TAMBIEN HUBO CAMBIO DE JEFE DE LA OFICINA DE CALIDAD, POR LOS CAMBIOS DE DIRECTIVOS SUCEDIDOS EN EL ULTIMO MES, POR LO CUAL SE CONSIDERA CONVENIENTE REALIZAR UN PROCESO DE CAPACITACIÓN GENERAL A LOS PRE"&amp;"SIDENTES Y SECRETARIOS DE LOS COMITÉS ACORDE A LAS ACCIONES FORMULADAS.")</f>
        <v>Se evidencia en los soportes enviados por cada comité que:
Comité Ética de la investigación adjunta acta del 19 de enero 2022 en la cual se hace socialización de instructivo de comités (en estos contenidos se incluye la gestión documental), planes de mejora, seguimiento a compromisos y otros temas internos del comité. Se anexan soportes
Comité ética hospitalaria anexa acta de comité con fecha 12/25/2022 donde socializa institucional de gestión de comités. Se anexan soportes.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Los Comités GCES, Infecciones e Historias clínicas ya cumplieron anteriormente con este requisito. Faltan soportes de socialización de lineamientos actualizados para el funcionamiento de los comités institucionales y la custodia de los archivos magnéticos y físicos por parte de Calidad a los miembros de los comités de COPASST, Farmacia, Transfusiones, Vigilancia epidemiológica, Mortalidad Infantil, Mortalidad Materna, Donación, Violencia Sexual.   
NOTA: ES IMPORTANTE TENER EN CUENTA QUE GRAN PARTE DE LOS COMITÉS AUDITADOS CAMBIARON DE PRESIDENTE DELEGADO ASÍ COMO TAMBIEN HUBO CAMBIO DE JEFE DE LA OFICINA DE CALIDAD, POR LOS CAMBIOS DE DIRECTIVOS SUCEDIDOS EN EL ULTIMO MES, POR LO CUAL SE CONSIDERA CONVENIENTE REALIZAR UN PROCESO DE CAPACITACIÓN GENERAL A LOS PRESIDENTES Y SECRETARIOS DE LOS COMITÉS ACORDE A LAS ACCIONES FORMULADAS.</v>
      </c>
      <c r="F92" s="0" t="str">
        <f aca="false">IFERROR(__xludf.dummyfunction("""COMPUTED_VALUE"""),"Atrasado")</f>
        <v>Atrasado</v>
      </c>
    </row>
    <row r="93" customFormat="false" ht="14.25" hidden="false" customHeight="false" outlineLevel="0" collapsed="false">
      <c r="A93" s="18" t="str">
        <f aca="false">IFERROR(MID(D93,1,FIND("|",D93)-1)&amp;"-"&amp;C93,"")</f>
        <v>AICI202110-5-2-3</v>
      </c>
      <c r="B93" s="19" t="n">
        <f aca="false">IFERROR(__xludf.dummyfunction("""COMPUTED_VALUE"""),44753)</f>
        <v>44753</v>
      </c>
      <c r="C93" s="0" t="n">
        <f aca="false">IFERROR(__xludf.dummyfunction("""COMPUTED_VALUE"""),3)</f>
        <v>3</v>
      </c>
      <c r="D93" s="0" t="str">
        <f aca="false">IFERROR(__xludf.dummyfunction("""COMPUTED_VALUE"""),"AICI202110-5-2| Socialización de los documentos actualizados. (15/09/2021 - 30/12/2021)")</f>
        <v>AICI202110-5-2| Socialización de los documentos actualizados. (15/09/2021 - 30/12/2021)</v>
      </c>
      <c r="E93" s="0" t="str">
        <f aca="false">IFERROR(__xludf.dummyfunction("""COMPUTED_VALUE"""),"Se evidencia en los soportes enviados por cada comité que:
Comité Ética de la investigación adjunta acta del 19 de enero 2022 en la cual se hace socialización de instructivo de comités (en estos contenidos se incluye la gestión documental), planes de mejo"&amp;"ra, seguimiento a compromisos y otros temas internos del comité.
Comité ética hospitalaria anexa acta de comité con fecha 12/25/2022 donde socializa institucional de gestión de comités.
Comité Docencia Servicio envío copia de resoluciones y pantallazo de "&amp;"un link de calidad como soporte de la socialización del instructivo de gestión a de comité, pero en el no se aprecia socialización de información relacionada con el tema, por lo tanto no se avala el soporte.
Los Comités GCES, Infecciones e Historias clíni"&amp;"cas ya cumplieron anteriormente con este requisito. Faltan soportes de socialización de lineamientos actualizados por parte de Calidad  a todos los miembros del COPASST, comités de Farmacia, Transfusiones, Vigilancia epidemiológica, Mortalidad Infantil, M"&amp;"ortalidad Materna, Donación, Violencia Sexual.   
NOTA: ES IMPORTANTE TENER EN CUENTA QUE GRAN PARTE DE LOS COMITÉS AUDITADOS CAMBIARON DE PRESIDENTE DELEGADO ASÍ COMO TAMBIEN HUBO CAMBIO DE JEFE DE LA OFICINA DE CALIDAD, POR LOS CAMBIOS DE DIRECTIVOS SUC"&amp;"EDIDOS EN EL ULTIMO MES, POR LO CUAL SE CONSIDERA CONVENIENTE REALIZAR UN PROCESO DE CAPACITACIÓN GENERAL A LOS PRESIDENTES Y SECRETARIOS DE LOS COMITÉS ACORDE A LAS ACCIONES FORMULADAS.
Se anexan soportes. ")</f>
        <v>Se evidencia en los soportes enviados por cada comité que:
Comité Ética de la investigación adjunta acta del 19 de enero 2022 en la cual se hace socialización de instructivo de comités (en estos contenidos se incluye la gestión documental), planes de mejora, seguimiento a compromisos y otros temas internos del comité.
Comité ética hospitalaria anexa acta de comité con fecha 12/25/2022 donde socializa institucional de gestión de comités.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Los Comités GCES, Infecciones e Historias clínicas ya cumplieron anteriormente con este requisito. Faltan soportes de socialización de lineamientos actualizados por parte de Calidad  a todos los miembros del COPASST, comités de Farmacia, Transfusiones, Vigilancia epidemiológica, Mortalidad Infantil, Mortalidad Materna, Donación, Violencia Sexual.   
NOTA: ES IMPORTANTE TENER EN CUENTA QUE GRAN PARTE DE LOS COMITÉS AUDITADOS CAMBIARON DE PRESIDENTE DELEGADO ASÍ COMO TAMBIEN HUBO CAMBIO DE JEFE DE LA OFICINA DE CALIDAD, POR LOS CAMBIOS DE DIRECTIVOS SUCEDIDOS EN EL ULTIMO MES, POR LO CUAL SE CONSIDERA CONVENIENTE REALIZAR UN PROCESO DE CAPACITACIÓN GENERAL A LOS PRESIDENTES Y SECRETARIOS DE LOS COMITÉS ACORDE A LAS ACCIONES FORMULADAS.
Se anexan soportes. </v>
      </c>
      <c r="F93" s="0" t="str">
        <f aca="false">IFERROR(__xludf.dummyfunction("""COMPUTED_VALUE"""),"Atrasado")</f>
        <v>Atrasado</v>
      </c>
    </row>
    <row r="94" customFormat="false" ht="14.25" hidden="false" customHeight="false" outlineLevel="0" collapsed="false">
      <c r="A94" s="18" t="str">
        <f aca="false">IFERROR(MID(D94,1,FIND("|",D94)-1)&amp;"-"&amp;C94,"")</f>
        <v>AICI202110-7-1-3</v>
      </c>
      <c r="B94" s="19" t="n">
        <f aca="false">IFERROR(__xludf.dummyfunction("""COMPUTED_VALUE"""),44753)</f>
        <v>44753</v>
      </c>
      <c r="C94" s="0" t="n">
        <f aca="false">IFERROR(__xludf.dummyfunction("""COMPUTED_VALUE"""),3)</f>
        <v>3</v>
      </c>
      <c r="D94" s="0" t="str">
        <f aca="false">IFERROR(__xludf.dummyfunction("""COMPUTED_VALUE"""),"AICI202110-7-1| Socializar los Lineamientos generales para el seguimiento a compromisos derivados de auditorías … (15/09/2021 - 31/12/2021)")</f>
        <v>AICI202110-7-1| Socializar los Lineamientos generales para el seguimiento a compromisos derivados de auditorías … (15/09/2021 - 31/12/2021)</v>
      </c>
      <c r="E94" s="0" t="str">
        <f aca="false">IFERROR(__xludf.dummyfunction("""COMPUTED_VALUE"""),"Calidad allega las siguientes evidencias:  Comité ética de la Investigación presenta acta 54 donde se observa socialización de lineamientos a seguimiento de compromisos, Comité Ética hospitalaria presenta acta 44 que no incluye socialización de lineamient"&amp;"o de seguimiento a compromisos, sino el instructivo de gestión de comités, por lo tanto no  cumple.  Comité Docencia servicio allega soportes que no incluyen documento de lineamientos descritos en la acción.  no cumple, Comité de historia clínica cumplió "&amp;"en comités anteriores.  No se allegaron soportes de que se haya hecho socialización de los Lineamientos generales para el seguimiento a compromisos derivados de auditorías, comités, unidades de análisis y protocolos de Londres ES-GC-O-05 en cuanto a formu"&amp;"lación, seguimiento y evaluación de los planes de mejora derivados de los comités en los comités de Farmacia, Transfusiones, Vigilancia epidemiológica, Mortalidad Infantil, Mortalidad materna, IAAS, GCES, Donación, Violencia Sexual COPASST")</f>
        <v>Calidad allega las siguientes evidencias:  Comité ética de la Investigación presenta acta 54 donde se observa socialización de lineamientos a seguimiento de compromisos, Comité Ética hospitalaria presenta acta 44 que no incluye socialización de lineamiento de seguimiento a compromisos, sino el instructivo de gestión de comités, por lo tanto no  cumple.  Comité Docencia servicio allega soportes que no incluyen documento de lineamientos descritos en la acción.  no cumple, Comité de historia clínica cumplió en comités anteriores.  No se allegaron soportes de que se haya hecho socialización de los Lineamientos generales para el seguimiento a compromisos derivados de auditorías, comités, unidades de análisis y protocolos de Londres ES-GC-O-05 en cuanto a formulación, seguimiento y evaluación de los planes de mejora derivados de los comités en los comités de Farmacia, Transfusiones, Vigilancia epidemiológica, Mortalidad Infantil, Mortalidad materna, IAAS, GCES, Donación, Violencia Sexual COPASST</v>
      </c>
      <c r="F94" s="0" t="str">
        <f aca="false">IFERROR(__xludf.dummyfunction("""COMPUTED_VALUE"""),"Atrasado")</f>
        <v>Atrasado</v>
      </c>
    </row>
    <row r="95" customFormat="false" ht="14.25" hidden="false" customHeight="false" outlineLevel="0" collapsed="false">
      <c r="A95" s="18" t="str">
        <f aca="false">IFERROR(MID(D95,1,FIND("|",D95)-1)&amp;"-"&amp;C95,"")</f>
        <v>AICI202110-7-2-3</v>
      </c>
      <c r="B95" s="19" t="n">
        <f aca="false">IFERROR(__xludf.dummyfunction("""COMPUTED_VALUE"""),44753)</f>
        <v>44753</v>
      </c>
      <c r="C95" s="0" t="n">
        <f aca="false">IFERROR(__xludf.dummyfunction("""COMPUTED_VALUE"""),3)</f>
        <v>3</v>
      </c>
      <c r="D95" s="0" t="str">
        <f aca="false">IFERROR(__xludf.dummyfunction("""COMPUTED_VALUE"""),"AICI202110-7-2| Socializar el Instructivo para la Gestión de los Comités Institucionales ES-GC-I-16 actualizado … (15/09/2021 - 31/12/2021)")</f>
        <v>AICI202110-7-2| Socializar el Instructivo para la Gestión de los Comités Institucionales ES-GC-I-16 actualizado … (15/09/2021 - 31/12/2021)</v>
      </c>
      <c r="E95" s="0" t="str">
        <f aca="false">IFERROR(__xludf.dummyfunction("""COMPUTED_VALUE"""),"Se evidencia en los soportes enviados por cada comité que:
Comité Ética de la investigación adjunta acta del 19 de enero 2022 en la cual se hace socialización de instructivo de comités (en estos contenidos se incluye la gestión documental), planes de mejo"&amp;"ra, seguimiento a compromisos y otros temas internos del comité.
Comité ética hospitalaria anexa acta de comité con fecha 12/25/2022 donde socializa institucional de gestión de comités.
Comité Docencia Servicio envío copia de resoluciones y pantallazo de "&amp;"un link de calidad como soporte de la socialización del instructivo de gestión a de comité, pero en el no se aprecia socialización de información relacionada con el tema, por lo tanto no se avala el soporte.
Los Comités GCES, Infecciones e Historias clíni"&amp;"cas ya cumplieron anteriormente con este requisito. Faltan soportes de socialización de lineamientos actualizados por parte de Calidad  a todos los miembros del COPASST, comités de Farmacia, Transfusiones, Vigilancia epidemiológica, Mortalidad Infantil, M"&amp;"ortalidad Materna, Donación, Violencia Sexual.   
NOTA: ES IMPORTANTE TENER EN CUENTA QUE GRAN PARTE DE LOS COMITÉS AUDITADOS CAMBIARON DE PRESIDENTE DELEGADO ASÍ COMO TAMBIEN HUBO CAMBIO DE JEFE DE LA OFICINA DE CALIDAD, POR LOS CAMBIOS DE DIRECTIVOS SUC"&amp;"EDIDOS EN EL ULTIMO MES, POR LO CUAL SE CONSIDERA CONVENIENTE REALIZAR UN PROCESO DE CAPACITACIÓN GENERAL A LOS PRESIDENTES Y SECRETARIOS DE LOS COMITÉS ACORDE A LAS ACCIONES FORMULADAS.
Se anexan soportes. ")</f>
        <v>Se evidencia en los soportes enviados por cada comité que:
Comité Ética de la investigación adjunta acta del 19 de enero 2022 en la cual se hace socialización de instructivo de comités (en estos contenidos se incluye la gestión documental), planes de mejora, seguimiento a compromisos y otros temas internos del comité.
Comité ética hospitalaria anexa acta de comité con fecha 12/25/2022 donde socializa institucional de gestión de comités.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Los Comités GCES, Infecciones e Historias clínicas ya cumplieron anteriormente con este requisito. Faltan soportes de socialización de lineamientos actualizados por parte de Calidad  a todos los miembros del COPASST, comités de Farmacia, Transfusiones, Vigilancia epidemiológica, Mortalidad Infantil, Mortalidad Materna, Donación, Violencia Sexual.   
NOTA: ES IMPORTANTE TENER EN CUENTA QUE GRAN PARTE DE LOS COMITÉS AUDITADOS CAMBIARON DE PRESIDENTE DELEGADO ASÍ COMO TAMBIEN HUBO CAMBIO DE JEFE DE LA OFICINA DE CALIDAD, POR LOS CAMBIOS DE DIRECTIVOS SUCEDIDOS EN EL ULTIMO MES, POR LO CUAL SE CONSIDERA CONVENIENTE REALIZAR UN PROCESO DE CAPACITACIÓN GENERAL A LOS PRESIDENTES Y SECRETARIOS DE LOS COMITÉS ACORDE A LAS ACCIONES FORMULADAS.
Se anexan soportes. </v>
      </c>
      <c r="F95" s="0" t="str">
        <f aca="false">IFERROR(__xludf.dummyfunction("""COMPUTED_VALUE"""),"Atrasado")</f>
        <v>Atrasado</v>
      </c>
    </row>
    <row r="96" customFormat="false" ht="14.25" hidden="false" customHeight="false" outlineLevel="0" collapsed="false">
      <c r="A96" s="18" t="str">
        <f aca="false">IFERROR(MID(D96,1,FIND("|",D96)-1)&amp;"-"&amp;C96,"")</f>
        <v>AICI202110-7-3-3</v>
      </c>
      <c r="B96" s="19" t="n">
        <f aca="false">IFERROR(__xludf.dummyfunction("""COMPUTED_VALUE"""),44753)</f>
        <v>44753</v>
      </c>
      <c r="C96" s="0" t="n">
        <f aca="false">IFERROR(__xludf.dummyfunction("""COMPUTED_VALUE"""),3)</f>
        <v>3</v>
      </c>
      <c r="D96" s="0" t="str">
        <f aca="false">IFERROR(__xludf.dummyfunction("""COMPUTED_VALUE"""),"AICI202110-7-3| Realizar verificación de la calidad de los planes de mejora y planes de acción a través del … (01/01/2022 - 30/04/2022)")</f>
        <v>AICI202110-7-3| Realizar verificación de la calidad de los planes de mejora y planes de acción a través del … (01/01/2022 - 30/04/2022)</v>
      </c>
      <c r="E96" s="0" t="str">
        <f aca="false">IFERROR(__xludf.dummyfunction("""COMPUTED_VALUE"""),"Los soporte enviados no son pertinentes para esta acción.")</f>
        <v>Los soporte enviados no son pertinentes para esta acción.</v>
      </c>
      <c r="F96" s="0" t="str">
        <f aca="false">IFERROR(__xludf.dummyfunction("""COMPUTED_VALUE"""),"Atrasado")</f>
        <v>Atrasado</v>
      </c>
    </row>
    <row r="97" customFormat="false" ht="14.25" hidden="false" customHeight="false" outlineLevel="0" collapsed="false">
      <c r="A97" s="18" t="str">
        <f aca="false">IFERROR(MID(D97,1,FIND("|",D97)-1)&amp;"-"&amp;C97,"")</f>
        <v>AICI202110-8-1-3</v>
      </c>
      <c r="B97" s="19" t="n">
        <f aca="false">IFERROR(__xludf.dummyfunction("""COMPUTED_VALUE"""),44753)</f>
        <v>44753</v>
      </c>
      <c r="C97" s="0" t="n">
        <f aca="false">IFERROR(__xludf.dummyfunction("""COMPUTED_VALUE"""),3)</f>
        <v>3</v>
      </c>
      <c r="D97" s="0" t="str">
        <f aca="false">IFERROR(__xludf.dummyfunction("""COMPUTED_VALUE"""),"AICI202110-8-1| Realizar registro periódico y oportuno de la matriz de compromisos derivados de los comités … (15/09/2021 - 30/04/2022)")</f>
        <v>AICI202110-8-1| Realizar registro periódico y oportuno de la matriz de compromisos derivados de los comités … (15/09/2021 - 30/04/2022)</v>
      </c>
      <c r="E97" s="0" t="str">
        <f aca="false">IFERROR(__xludf.dummyfunction("""COMPUTED_VALUE"""),"Se evidenció matriz de seguimiento a compromisos de comités GCES  e IAAS. Los comités de farmacia, ética hospitalaria, docencia servicio presentan otros formatos que no corresponden al establecido, los comités de Historias clínica, transfusiones, vigilanc"&amp;"ia epidemiológica, mortalidad materna, mortalidad infantil, Donación, violencia sexual, Ética de la investigación , COPASST no presentaron soportes.  Se anexan soportes.")</f>
        <v>Se evidenció matriz de seguimiento a compromisos de comités GCES  e IAAS. Los comités de farmacia, ética hospitalaria, docencia servicio presentan otros formatos que no corresponden al establecido, los comités de Historias clínica, transfusiones, vigilancia epidemiológica, mortalidad materna, mortalidad infantil, Donación, violencia sexual, Ética de la investigación , COPASST no presentaron soportes.  Se anexan soportes.</v>
      </c>
      <c r="F97" s="0" t="str">
        <f aca="false">IFERROR(__xludf.dummyfunction("""COMPUTED_VALUE"""),"Atrasado")</f>
        <v>Atrasado</v>
      </c>
    </row>
    <row r="98" customFormat="false" ht="14.25" hidden="false" customHeight="false" outlineLevel="0" collapsed="false">
      <c r="A98" s="18" t="str">
        <f aca="false">IFERROR(MID(D98,1,FIND("|",D98)-1)&amp;"-"&amp;C98,"")</f>
        <v>AICI202110-8-3-3</v>
      </c>
      <c r="B98" s="19" t="n">
        <f aca="false">IFERROR(__xludf.dummyfunction("""COMPUTED_VALUE"""),44753)</f>
        <v>44753</v>
      </c>
      <c r="C98" s="0" t="n">
        <f aca="false">IFERROR(__xludf.dummyfunction("""COMPUTED_VALUE"""),3)</f>
        <v>3</v>
      </c>
      <c r="D98" s="0" t="str">
        <f aca="false">IFERROR(__xludf.dummyfunction("""COMPUTED_VALUE"""),"AICI202110-8-3| Seguimiento y registro del avance porcentual de cumplimiento de cada compromiso en la matriz… (15/09/2021 - 30/04/2022)")</f>
        <v>AICI202110-8-3| Seguimiento y registro del avance porcentual de cumplimiento de cada compromiso en la matriz… (15/09/2021 - 30/04/2022)</v>
      </c>
      <c r="E98" s="0" t="str">
        <f aca="false">IFERROR(__xludf.dummyfunction("""COMPUTED_VALUE"""),"Calidad realiza revisión y refiere que la socialización periódica de los compromisos adquiridos se realiza durante las reuniones y actas derivados de los comités institucionales. Se adjuntan actas docencia servicio, ética hospitalaria, ética investigación"&amp;", farmacia, transfusiones, historias clínicas, violencia sexual, materno infantil, materno perinatal, IAAS y GCES.  Se evidencian 11 comités con los soportes anexos
historias clínicas - acta de Reunión de octubre y noviembre 2021, Docencia servicio- resol"&amp;"ución 314 de 2017, socialización de la resolución, 
Ética hospitalaria-acta de comité 12/05/2022, INSTRUCTIVO GESTIÓN DE LOS COMITÉS INSTITUCIONALES
ética investigación- actas de reuniones ordinarias de los meses de octubre, noviembre y diciembre del año "&amp;"2021; actas de los meses de enero, febrero y marzo de 2022
farmacia- actas de los meses de febrero, diciembre 20 y 21 y marzo 2022
Gestión clínica- acta de Reunión de febrero de 2022
Control y prevención de infección-acta de diciembre 2021, actas de los m"&amp;"eses enero, febrero 2022
materno infantil-actas de enero y febrero 2022
materno perinatal-actas de abril y octubre 2021; enero y febrero 2022
transfusión sanguínea-acta del 12 de octubre 2021
violencia sexual-acta de27 de  enero  2022
Para los comités de "&amp;"vigilancia epidemiológica, donación y trasplantes, COPASST no presentan soportes para esta acción
Todos los soportes no se suben porque son muy pesados están almacenados en computador juliana/C:\05 AUDITORIAS 2021\AUDITORIA COMITÉS CI""""&amp;""""ENTIFICOTECN"&amp;"ICOS MAYO-JUNIO 2021\9 SEGUIMIENTOS PLAN DE MEJORA COMITES\1 PLAN DE MEJORA GENERAL DE COMITES INSTITUCIONALES\3seg PMJ comités 2021")</f>
        <v>Calidad realiza revisión y refiere que la socialización periódica de los compromisos adquiridos se realiza durante las reuniones y actas derivados de los comités institucionales. Se adjuntan actas docencia servicio, ética hospitalaria, ética investigación, farmacia, transfusiones, historias clínicas, violencia sexual, materno infantil, materno perinatal, IAAS y GCES.  Se evidencian 11 comités con los soportes anexos
historias clínicas - acta de Reunión de octubre y noviembre 2021, Docencia servicio- resolución 314 de 2017, socialización de la resolución, 
Ética hospitalaria-acta de comité 12/05/2022, INSTRUCTIVO GESTIÓN DE LOS COMITÉS INSTITUCIONALES
ética investigación- actas de reuniones ordinarias de los meses de octubre, noviembre y diciembre del año 2021; actas de los meses de enero, febrero y marzo de 2022
farmacia- actas de los meses de febrero, diciembre 20 y 21 y marzo 2022
Gestión clínica- acta de Reunión de febrero de 2022
Control y prevención de infección-acta de diciembre 2021, actas de los meses enero, febrero 2022
materno infantil-actas de enero y febrero 2022
materno perinatal-actas de abril y octubre 2021; enero y febrero 2022
transfusión sanguínea-acta del 12 de octubre 2021
violencia sexual-acta de27 de  enero  2022
Para los comités de vigilancia epidemiológica, donación y trasplantes, COPASST no presentan soportes para esta acción
Todos los soportes no se suben porque son muy pesados están almacenados en computador juliana/C:\05 AUDITORIAS 2021\AUDITORIA COMITÉS CI""&amp;""ENTIFICOTECNICOS MAYO-JUNIO 2021\9 SEGUIMIENTOS PLAN DE MEJORA COMITES\1 PLAN DE MEJORA GENERAL DE COMITES INSTITUCIONALES\3seg PMJ comités 2021</v>
      </c>
      <c r="F98" s="0" t="str">
        <f aca="false">IFERROR(__xludf.dummyfunction("""COMPUTED_VALUE"""),"Atrasado")</f>
        <v>Atrasado</v>
      </c>
    </row>
    <row r="99" customFormat="false" ht="14.25" hidden="false" customHeight="false" outlineLevel="0" collapsed="false">
      <c r="A99" s="18" t="str">
        <f aca="false">IFERROR(MID(D99,1,FIND("|",D99)-1)&amp;"-"&amp;C99,"")</f>
        <v>AICI202110-9-1-3</v>
      </c>
      <c r="B99" s="19" t="n">
        <f aca="false">IFERROR(__xludf.dummyfunction("""COMPUTED_VALUE"""),44753)</f>
        <v>44753</v>
      </c>
      <c r="C99" s="0" t="n">
        <f aca="false">IFERROR(__xludf.dummyfunction("""COMPUTED_VALUE"""),3)</f>
        <v>3</v>
      </c>
      <c r="D99" s="0" t="str">
        <f aca="false">IFERROR(__xludf.dummyfunction("""COMPUTED_VALUE"""),"AICI202110-9-1| Socializar el Instructivo para la Gestión de los Comités Institucionales ES-GC-I-16 … (15/09/2021 - 31/12/2021)")</f>
        <v>AICI202110-9-1| Socializar el Instructivo para la Gestión de los Comités Institucionales ES-GC-I-16 … (15/09/2021 - 31/12/2021)</v>
      </c>
      <c r="E99" s="0" t="str">
        <f aca="false">IFERROR(__xludf.dummyfunction("""COMPUTED_VALUE"""),"Se evidencia en los soportes enviados por cada comité que:
Comité Ética de la investigación adjunta acta del 19 de enero 2022 en la cual se hace socialización de instructivo de comités (en estos contenidos se incluye la gestión documental), planes de mejo"&amp;"ra, seguimiento a compromisos y otros temas internos del comité.
Comité ética hospitalaria anexa acta de comité con fecha 12/25/2022 donde socializa institucional de gestión de comités.
Comité Docencia Servicio envío copia de resoluciones y pantallazo de "&amp;"un link de calidad como soporte de la socialización del instructivo de gestión a de comité, pero en el no se aprecia socialización de información relacionada con el tema, por lo tanto no se avala el soporte.
Los Comités GCES, Infecciones e Historias clíni"&amp;"cas ya cumplieron anteriormente con este requisito. Faltan soportes de socialización de instructivo de gestión de comités por parte de Calidad  a todos los miembros del COPASST, comités de Farmacia, Transfusiones, Vigilancia epidemiológica, Mortalidad Inf"&amp;"antil, Mortalidad Materna, Donación, Violencia Sexual.   
NOTA: ES IMPORTANTE TENER EN CUENTA QUE GRAN PARTE DE LOS COMITÉS AUDITADOS CAMBIARON DE PRESIDENTE DELEGADO ASÍ COMO TAMBIEN HUBO CAMBIO DE JEFE DE LA OFICINA DE CALIDAD, POR LOS CAMBIOS DE DIRECT"&amp;"IVOS SUCEDIDOS EN EL ULTIMO MES, POR LO CUAL SE CONSIDERA CONVENIENTE REALIZAR UN PROCESO DE CAPACITACIÓN GENERAL A LOS PRESIDENTES Y SECRETARIOS DE LOS COMITÉS ACORDE A LAS ACCIONES FORMULADAS.")</f>
        <v>Se evidencia en los soportes enviados por cada comité que:
Comité Ética de la investigación adjunta acta del 19 de enero 2022 en la cual se hace socialización de instructivo de comités (en estos contenidos se incluye la gestión documental), planes de mejora, seguimiento a compromisos y otros temas internos del comité.
Comité ética hospitalaria anexa acta de comité con fecha 12/25/2022 donde socializa institucional de gestión de comités.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Los Comités GCES, Infecciones e Historias clínicas ya cumplieron anteriormente con este requisito. Faltan soportes de socialización de instructivo de gestión de comités por parte de Calidad  a todos los miembros del COPASST, comités de Farmacia, Transfusiones, Vigilancia epidemiológica, Mortalidad Infantil, Mortalidad Materna, Donación, Violencia Sexual.   
NOTA: ES IMPORTANTE TENER EN CUENTA QUE GRAN PARTE DE LOS COMITÉS AUDITADOS CAMBIARON DE PRESIDENTE DELEGADO ASÍ COMO TAMBIEN HUBO CAMBIO DE JEFE DE LA OFICINA DE CALIDAD, POR LOS CAMBIOS DE DIRECTIVOS SUCEDIDOS EN EL ULTIMO MES, POR LO CUAL SE CONSIDERA CONVENIENTE REALIZAR UN PROCESO DE CAPACITACIÓN GENERAL A LOS PRESIDENTES Y SECRETARIOS DE LOS COMITÉS ACORDE A LAS ACCIONES FORMULADAS.</v>
      </c>
      <c r="F99" s="0" t="str">
        <f aca="false">IFERROR(__xludf.dummyfunction("""COMPUTED_VALUE"""),"Atrasado")</f>
        <v>Atrasado</v>
      </c>
    </row>
    <row r="100" customFormat="false" ht="14.25" hidden="false" customHeight="false" outlineLevel="0" collapsed="false">
      <c r="A100" s="18" t="str">
        <f aca="false">IFERROR(MID(D100,1,FIND("|",D100)-1)&amp;"-"&amp;C100,"")</f>
        <v>AICI202110-9-2-3</v>
      </c>
      <c r="B100" s="19" t="n">
        <f aca="false">IFERROR(__xludf.dummyfunction("""COMPUTED_VALUE"""),44753)</f>
        <v>44753</v>
      </c>
      <c r="C100" s="0" t="n">
        <f aca="false">IFERROR(__xludf.dummyfunction("""COMPUTED_VALUE"""),3)</f>
        <v>3</v>
      </c>
      <c r="D100" s="0" t="str">
        <f aca="false">IFERROR(__xludf.dummyfunction("""COMPUTED_VALUE"""),"AICI202110-9-2| elaboración y presentación del informe ejecutivo anual en la primera reunión del año de cada comité (01/02/2022 - 28/02/2022)")</f>
        <v>AICI202110-9-2| elaboración y presentación del informe ejecutivo anual en la primera reunión del año de cada comité (01/02/2022 - 28/02/2022)</v>
      </c>
      <c r="E100" s="0" t="str">
        <f aca="false">IFERROR(__xludf.dummyfunction("""COMPUTED_VALUE"""),"Se evidencia informe de gestión anual correspondiente al año 2021 del comité ética investigación, comité de transfusión adjunta informe de gestión, comité violencia sexual como evidencia anexa informe ejecutivo anual 2021, comité historias clínicas adjunt"&amp;"a informe anual 2021. Se anexan soportes. Los comités de farmacia, vigilancia epidemiológica, Donación, Ética hospitalaria, Docencia Servicio y COPASST no presentan soportes.")</f>
        <v>Se evidencia informe de gestión anual correspondiente al año 2021 del comité ética investigación, comité de transfusión adjunta informe de gestión, comité violencia sexual como evidencia anexa informe ejecutivo anual 2021, comité historias clínicas adjunta informe anual 2021. Se anexan soportes. Los comités de farmacia, vigilancia epidemiológica, Donación, Ética hospitalaria, Docencia Servicio y COPASST no presentan soportes.</v>
      </c>
      <c r="F100" s="0" t="str">
        <f aca="false">IFERROR(__xludf.dummyfunction("""COMPUTED_VALUE"""),"Atrasado")</f>
        <v>Atrasado</v>
      </c>
    </row>
    <row r="101" customFormat="false" ht="14.25" hidden="false" customHeight="false" outlineLevel="0" collapsed="false">
      <c r="A101" s="18" t="str">
        <f aca="false">IFERROR(MID(D101,1,FIND("|",D101)-1)&amp;"-"&amp;C101,"")</f>
        <v>AICI202110-10-2-3</v>
      </c>
      <c r="B101" s="19" t="n">
        <f aca="false">IFERROR(__xludf.dummyfunction("""COMPUTED_VALUE"""),44753)</f>
        <v>44753</v>
      </c>
      <c r="C101" s="0" t="n">
        <f aca="false">IFERROR(__xludf.dummyfunction("""COMPUTED_VALUE"""),3)</f>
        <v>3</v>
      </c>
      <c r="D101" s="0" t="str">
        <f aca="false">IFERROR(__xludf.dummyfunction("""COMPUTED_VALUE"""),"AICI202110-10-2| Socializar el Instructivo para la Gestión de los Comités Institucionales ES-GC-I-16 … (15/09/2021 - 31/12/2021)")</f>
        <v>AICI202110-10-2| Socializar el Instructivo para la Gestión de los Comités Institucionales ES-GC-I-16 … (15/09/2021 - 31/12/2021)</v>
      </c>
      <c r="E101" s="0" t="str">
        <f aca="false">IFERROR(__xludf.dummyfunction("""COMPUTED_VALUE"""),"Se evidencia en los soportes enviados por cada comité que:
Comité Ética de la investigación adjunta acta del 19 de enero 2022 en la cual se hace socialización de instructivo de comités (en estos contenidos se incluye la gestión documental), planes de mejo"&amp;"ra, seguimiento a compromisos y otros temas internos del comité.
Comité ética hospitalaria anexa acta de comité con fecha 12/25/2022 donde socializa institucional de gestión de comités.
Comité Docencia Servicio envío copia de resoluciones y pantallazo de "&amp;"un link de calidad como soporte de la socialización del instructivo de gestión a de comité, pero en el no se aprecia socialización de información relacionada con el tema, por lo tanto no se avala el soporte.
Los Comités GCES, Infecciones e Historias clíni"&amp;"cas ya cumplieron anteriormente con este requisito. Faltan soportes de socialización de lineamientos actualizados por parte de Calidad  a todos los miembros del COPASST, comités de Farmacia, Transfusiones, Vigilancia epidemiológica, Mortalidad Infantil, M"&amp;"ortalidad Materna, Donación, Violencia Sexual.   
NOTA: ES IMPORTANTE TENER EN CUENTA QUE GRAN PARTE DE LOS COMITÉS AUDITADOS CAMBIARON DE PRESIDENTE DELEGADO ASÍ COMO TAMBIEN HUBO CAMBIO DE JEFE DE LA OFICINA DE CALIDAD, POR LOS CAMBIOS DE DIRECTIVOS SUC"&amp;"EDIDOS EN EL ULTIMO MES, POR LO CUAL SE CONSIDERA CONVENIENTE REALIZAR UN PROCESO DE CAPACITACIÓN GENERAL A LOS PRESIDENTES Y SECRETARIOS DE LOS COMITÉS ACORDE A LAS ACCIONES FORMULADAS.")</f>
        <v>Se evidencia en los soportes enviados por cada comité que:
Comité Ética de la investigación adjunta acta del 19 de enero 2022 en la cual se hace socialización de instructivo de comités (en estos contenidos se incluye la gestión documental), planes de mejora, seguimiento a compromisos y otros temas internos del comité.
Comité ética hospitalaria anexa acta de comité con fecha 12/25/2022 donde socializa institucional de gestión de comités.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Los Comités GCES, Infecciones e Historias clínicas ya cumplieron anteriormente con este requisito. Faltan soportes de socialización de lineamientos actualizados por parte de Calidad  a todos los miembros del COPASST, comités de Farmacia, Transfusiones, Vigilancia epidemiológica, Mortalidad Infantil, Mortalidad Materna, Donación, Violencia Sexual.   
NOTA: ES IMPORTANTE TENER EN CUENTA QUE GRAN PARTE DE LOS COMITÉS AUDITADOS CAMBIARON DE PRESIDENTE DELEGADO ASÍ COMO TAMBIEN HUBO CAMBIO DE JEFE DE LA OFICINA DE CALIDAD, POR LOS CAMBIOS DE DIRECTIVOS SUCEDIDOS EN EL ULTIMO MES, POR LO CUAL SE CONSIDERA CONVENIENTE REALIZAR UN PROCESO DE CAPACITACIÓN GENERAL A LOS PRESIDENTES Y SECRETARIOS DE LOS COMITÉS ACORDE A LAS ACCIONES FORMULADAS.</v>
      </c>
      <c r="F101" s="0" t="str">
        <f aca="false">IFERROR(__xludf.dummyfunction("""COMPUTED_VALUE"""),"Atrasado")</f>
        <v>Atrasado</v>
      </c>
    </row>
    <row r="102" customFormat="false" ht="14.25" hidden="false" customHeight="false" outlineLevel="0" collapsed="false">
      <c r="A102" s="18" t="str">
        <f aca="false">IFERROR(MID(D102,1,FIND("|",D102)-1)&amp;"-"&amp;C102,"")</f>
        <v>AICI202110-1-1-4</v>
      </c>
      <c r="B102" s="19" t="n">
        <f aca="false">IFERROR(__xludf.dummyfunction("""COMPUTED_VALUE"""),44840)</f>
        <v>44840</v>
      </c>
      <c r="C102" s="0" t="n">
        <f aca="false">IFERROR(__xludf.dummyfunction("""COMPUTED_VALUE"""),4)</f>
        <v>4</v>
      </c>
      <c r="D102" s="0" t="str">
        <f aca="false">IFERROR(__xludf.dummyfunction("""COMPUTED_VALUE"""),"AICI202110-1-1| Revisión de las normatividad aplicable vigente a cada comité. (15/09/2021 - 30/11/2021)")</f>
        <v>AICI202110-1-1| Revisión de las normatividad aplicable vigente a cada comité. (15/09/2021 - 30/11/2021)</v>
      </c>
      <c r="E102" s="0" t="str">
        <f aca="false">IFERROR(__xludf.dummyfunction("""COMPUTED_VALUE"""),"Se verifican los soportes aportados y se evidencia que están pendientes de la verificación de normatividad y la actualización de las resoluciones de los comités de docencia y servicio y el de COPASST,  El Comité docencia del servicio presenta la resolució"&amp;"n 314 de 2017 la cual no ha sido actualizada y no menciona criterios de delegación de asistencia y su diligenciamiento en las actas de comité. El comité de COPASST no envía soportes. Para los demás comités ya se completó la acción. Cumplimiento de los com"&amp;"ités 85,71%")</f>
        <v>Se verifican los soportes aportados y se evidencia que están pendientes de la verificación de normatividad y la actualización de las resoluciones de los comités de docencia y servicio y el de COPASST,  El Comité docencia del servicio presenta la resolución 314 de 2017 la cual no ha sido actualizada y no menciona criterios de delegación de asistencia y su diligenciamiento en las actas de comité. El comité de COPASST no envía soportes. Para los demás comités ya se completó la acción. Cumplimiento de los comités 85,71%</v>
      </c>
      <c r="F102" s="0" t="str">
        <f aca="false">IFERROR(__xludf.dummyfunction("""COMPUTED_VALUE"""),"Atrasado")</f>
        <v>Atrasado</v>
      </c>
    </row>
    <row r="103" customFormat="false" ht="14.25" hidden="false" customHeight="false" outlineLevel="0" collapsed="false">
      <c r="A103" s="18" t="str">
        <f aca="false">IFERROR(MID(D103,1,FIND("|",D103)-1)&amp;"-"&amp;C103,"")</f>
        <v>AICI202110-1-2-4</v>
      </c>
      <c r="B103" s="19" t="n">
        <f aca="false">IFERROR(__xludf.dummyfunction("""COMPUTED_VALUE"""),44840)</f>
        <v>44840</v>
      </c>
      <c r="C103" s="0" t="n">
        <f aca="false">IFERROR(__xludf.dummyfunction("""COMPUTED_VALUE"""),4)</f>
        <v>4</v>
      </c>
      <c r="D103" s="0" t="str">
        <f aca="false">IFERROR(__xludf.dummyfunction("""COMPUTED_VALUE"""),"AICI202110-1-2| Actualización de las resoluciones que lo requieran de acuerdo a la normatividad vigente. (15/09/2021 - 30/11/2021)")</f>
        <v>AICI202110-1-2| Actualización de las resoluciones que lo requieran de acuerdo a la normatividad vigente. (15/09/2021 - 30/11/2021)</v>
      </c>
      <c r="E103" s="0" t="str">
        <f aca="false">IFERROR(__xludf.dummyfunction("""COMPUTED_VALUE"""),"Se verifican los soportes aportados y se evidencia que están pendientes de la verificación de normatividad y la actualización de las resoluciones de los comités de docencia y servicio y el de COPASST,  El Comité docencia del servicio presenta la resolució"&amp;"n 314 de 2017 la cual no ha sido actualizada y no menciona criterios de delegación de asistencia y su diligenciamiento en las actas de comité. El comité de COPASST no envía soportes. Para los demás comités ya se completó la acción. Cumplimiento de los com"&amp;"ités 85,71%")</f>
        <v>Se verifican los soportes aportados y se evidencia que están pendientes de la verificación de normatividad y la actualización de las resoluciones de los comités de docencia y servicio y el de COPASST,  El Comité docencia del servicio presenta la resolución 314 de 2017 la cual no ha sido actualizada y no menciona criterios de delegación de asistencia y su diligenciamiento en las actas de comité. El comité de COPASST no envía soportes. Para los demás comités ya se completó la acción. Cumplimiento de los comités 85,71%</v>
      </c>
      <c r="F103" s="0" t="str">
        <f aca="false">IFERROR(__xludf.dummyfunction("""COMPUTED_VALUE"""),"Atrasado")</f>
        <v>Atrasado</v>
      </c>
    </row>
    <row r="104" customFormat="false" ht="14.25" hidden="false" customHeight="false" outlineLevel="0" collapsed="false">
      <c r="A104" s="18" t="str">
        <f aca="false">IFERROR(MID(D104,1,FIND("|",D104)-1)&amp;"-"&amp;C104,"")</f>
        <v>AICI202110-1-3-4</v>
      </c>
      <c r="B104" s="19" t="n">
        <f aca="false">IFERROR(__xludf.dummyfunction("""COMPUTED_VALUE"""),44840)</f>
        <v>44840</v>
      </c>
      <c r="C104" s="0" t="n">
        <f aca="false">IFERROR(__xludf.dummyfunction("""COMPUTED_VALUE"""),4)</f>
        <v>4</v>
      </c>
      <c r="D104" s="0" t="str">
        <f aca="false">IFERROR(__xludf.dummyfunction("""COMPUTED_VALUE"""),"AICI202110-1-3| Socialización de las resoluciones actualizadas. (15/09/2021 - 31/12/2021)")</f>
        <v>AICI202110-1-3| Socialización de las resoluciones actualizadas. (15/09/2021 - 31/12/2021)</v>
      </c>
      <c r="E104" s="0" t="str">
        <f aca="false">IFERROR(__xludf.dummyfunction("""COMPUTED_VALUE"""),"Se verifican los soportes aportados y se evidencia que están pendientes de la Socialización y actualización de las resoluciones los comités de docencia y servicio y el de COPASST. Para los demás comités ya se completó la acción. Cumplimiento de los comité"&amp;"s 85,71%")</f>
        <v>Se verifican los soportes aportados y se evidencia que están pendientes de la Socialización y actualización de las resoluciones los comités de docencia y servicio y el de COPASST. Para los demás comités ya se completó la acción. Cumplimiento de los comités 85,71%</v>
      </c>
      <c r="F104" s="0" t="str">
        <f aca="false">IFERROR(__xludf.dummyfunction("""COMPUTED_VALUE"""),"Atrasado")</f>
        <v>Atrasado</v>
      </c>
    </row>
    <row r="105" customFormat="false" ht="14.25" hidden="false" customHeight="false" outlineLevel="0" collapsed="false">
      <c r="A105" s="18" t="str">
        <f aca="false">IFERROR(MID(D105,1,FIND("|",D105)-1)&amp;"-"&amp;C105,"")</f>
        <v>AICI202110-2-1-4</v>
      </c>
      <c r="B105" s="19" t="n">
        <f aca="false">IFERROR(__xludf.dummyfunction("""COMPUTED_VALUE"""),44840)</f>
        <v>44840</v>
      </c>
      <c r="C105" s="0" t="n">
        <f aca="false">IFERROR(__xludf.dummyfunction("""COMPUTED_VALUE"""),4)</f>
        <v>4</v>
      </c>
      <c r="D105" s="0" t="str">
        <f aca="false">IFERROR(__xludf.dummyfunction("""COMPUTED_VALUE"""),"AICI202110-2-1| Revisión de las funciones de los miembros de los comités contenidas en las resoluciones vigentes (15/09/2021 - 30/11/2021)")</f>
        <v>AICI202110-2-1| Revisión de las funciones de los miembros de los comités contenidas en las resoluciones vigentes (15/09/2021 - 30/11/2021)</v>
      </c>
      <c r="E105" s="0" t="str">
        <f aca="false">IFERROR(__xludf.dummyfunction("""COMPUTED_VALUE"""),"De los comités de ética de la Investigación y Docencia Servicios se evidencian las resoluciones, pero no se evidencia soporte de que se haya realizado la revisión de las funciones tal como lo indica la acción formulada.
COPASST no envío soportes. Los demá"&amp;"s comités cumplieron de acuerdo al hallazgo reportado en los seguimientos anteriores. Cumplimiento de los comités 92,85%")</f>
        <v>De los comités de ética de la Investigación y Docencia Servicios se evidencian las resoluciones, pero no se evidencia soporte de que se haya realizado la revisión de las funciones tal como lo indica la acción formulada.
COPASST no envío soportes. Los demás comités cumplieron de acuerdo al hallazgo reportado en los seguimientos anteriores. Cumplimiento de los comités 92,85%</v>
      </c>
      <c r="F105" s="0" t="str">
        <f aca="false">IFERROR(__xludf.dummyfunction("""COMPUTED_VALUE"""),"Atrasado")</f>
        <v>Atrasado</v>
      </c>
    </row>
    <row r="106" customFormat="false" ht="14.25" hidden="false" customHeight="false" outlineLevel="0" collapsed="false">
      <c r="A106" s="18" t="str">
        <f aca="false">IFERROR(MID(D106,1,FIND("|",D106)-1)&amp;"-"&amp;C106,"")</f>
        <v>AICI202110-2-2-4</v>
      </c>
      <c r="B106" s="19" t="n">
        <f aca="false">IFERROR(__xludf.dummyfunction("""COMPUTED_VALUE"""),44840)</f>
        <v>44840</v>
      </c>
      <c r="C106" s="0" t="n">
        <f aca="false">IFERROR(__xludf.dummyfunction("""COMPUTED_VALUE"""),4)</f>
        <v>4</v>
      </c>
      <c r="D106" s="0" t="str">
        <f aca="false">IFERROR(__xludf.dummyfunction("""COMPUTED_VALUE"""),"AICI202110-2-2| Actualización de las resoluciones que lo requieran de acuerdo a la revisión realizada. (15/09/2021 - 30/11/2021)")</f>
        <v>AICI202110-2-2| Actualización de las resoluciones que lo requieran de acuerdo a la revisión realizada. (15/09/2021 - 30/11/2021)</v>
      </c>
      <c r="E106" s="0" t="str">
        <f aca="false">IFERROR(__xludf.dummyfunction("""COMPUTED_VALUE"""),"De los comités de ética de la Investigación y Docencia Servicios se evidencian las resoluciones, pero no se evidencia soporte de que se haya realizado la revisión de las funciones tal como lo indica la acción formulada.
COPASST no envío soportes. Los demá"&amp;"s comités cumplieron de acuerdo al hallazgo reportado en los seguimientos anteriores.
 Cumplimiento de los comités 92,85%")</f>
        <v>De los comités de ética de la Investigación y Docencia Servicios se evidencian las resoluciones, pero no se evidencia soporte de que se haya realizado la revisión de las funciones tal como lo indica la acción formulada.
COPASST no envío soportes. Los demás comités cumplieron de acuerdo al hallazgo reportado en los seguimientos anteriores.
 Cumplimiento de los comités 92,85%</v>
      </c>
      <c r="F106" s="0" t="str">
        <f aca="false">IFERROR(__xludf.dummyfunction("""COMPUTED_VALUE"""),"Atrasado")</f>
        <v>Atrasado</v>
      </c>
    </row>
    <row r="107" customFormat="false" ht="14.25" hidden="false" customHeight="false" outlineLevel="0" collapsed="false">
      <c r="A107" s="18" t="str">
        <f aca="false">IFERROR(MID(D107,1,FIND("|",D107)-1)&amp;"-"&amp;C107,"")</f>
        <v>AICI202110-2-3-4</v>
      </c>
      <c r="B107" s="19" t="n">
        <f aca="false">IFERROR(__xludf.dummyfunction("""COMPUTED_VALUE"""),44840)</f>
        <v>44840</v>
      </c>
      <c r="C107" s="0" t="n">
        <f aca="false">IFERROR(__xludf.dummyfunction("""COMPUTED_VALUE"""),4)</f>
        <v>4</v>
      </c>
      <c r="D107" s="0" t="str">
        <f aca="false">IFERROR(__xludf.dummyfunction("""COMPUTED_VALUE"""),"AICI202110-2-3| Socialización de las resoluciones actualizadas (15/09/2021 - 31/12/2021)")</f>
        <v>AICI202110-2-3| Socialización de las resoluciones actualizadas (15/09/2021 - 31/12/2021)</v>
      </c>
      <c r="E107" s="0" t="str">
        <f aca="false">IFERROR(__xludf.dummyfunction("""COMPUTED_VALUE"""),"Se evidencia que el Comité ética de la Investigación y Docencia Servicio enviaron resoluciones, más no soportes de revisión de funciones y por lo tanto no se pudo establecer si se requería ajuste y socialización. No cumple. COPASST no envió soportes. Los "&amp;"demás comités cumplieron en seguimientos anteriores. Cumplimiento de los comités 92,85%")</f>
        <v>Se evidencia que el Comité ética de la Investigación y Docencia Servicio enviaron resoluciones, más no soportes de revisión de funciones y por lo tanto no se pudo establecer si se requería ajuste y socialización. No cumple. COPASST no envió soportes. Los demás comités cumplieron en seguimientos anteriores. Cumplimiento de los comités 92,85%</v>
      </c>
      <c r="F107" s="0" t="str">
        <f aca="false">IFERROR(__xludf.dummyfunction("""COMPUTED_VALUE"""),"Atrasado")</f>
        <v>Atrasado</v>
      </c>
    </row>
    <row r="108" customFormat="false" ht="14.25" hidden="false" customHeight="false" outlineLevel="0" collapsed="false">
      <c r="A108" s="18" t="str">
        <f aca="false">IFERROR(MID(D108,1,FIND("|",D108)-1)&amp;"-"&amp;C108,"")</f>
        <v>AICI202110-3-2-4</v>
      </c>
      <c r="B108" s="19" t="n">
        <f aca="false">IFERROR(__xludf.dummyfunction("""COMPUTED_VALUE"""),44840)</f>
        <v>44840</v>
      </c>
      <c r="C108" s="0" t="n">
        <f aca="false">IFERROR(__xludf.dummyfunction("""COMPUTED_VALUE"""),4)</f>
        <v>4</v>
      </c>
      <c r="D108" s="0" t="str">
        <f aca="false">IFERROR(__xludf.dummyfunction("""COMPUTED_VALUE"""),"AICI202110-3-2| Documentar la inducción y capacitación en los lineamientos actualizados para el funcionamiento ,,, (15/09/2021 - 31/12/2021)")</f>
        <v>AICI202110-3-2| Documentar la inducción y capacitación en los lineamientos actualizados para el funcionamiento ,,, (15/09/2021 - 31/12/2021)</v>
      </c>
      <c r="E108" s="0" t="str">
        <f aca="false">IFERROR(__xludf.dummyfunction("""COMPUTED_VALUE"""),"El comité de COPASST no reporta evidencias.  Los demás comités cumplieron en seguimientos anteriores. Cumplimiento de los comités 92,85%")</f>
        <v>El comité de COPASST no reporta evidencias.  Los demás comités cumplieron en seguimientos anteriores. Cumplimiento de los comités 92,85%</v>
      </c>
      <c r="F108" s="0" t="str">
        <f aca="false">IFERROR(__xludf.dummyfunction("""COMPUTED_VALUE"""),"Atrasado")</f>
        <v>Atrasado</v>
      </c>
    </row>
    <row r="109" customFormat="false" ht="14.25" hidden="false" customHeight="false" outlineLevel="0" collapsed="false">
      <c r="A109" s="18" t="str">
        <f aca="false">IFERROR(MID(D109,1,FIND("|",D109)-1)&amp;"-"&amp;C109,"")</f>
        <v>AICI202110-4-2-4</v>
      </c>
      <c r="B109" s="19" t="n">
        <f aca="false">IFERROR(__xludf.dummyfunction("""COMPUTED_VALUE"""),44840)</f>
        <v>44840</v>
      </c>
      <c r="C109" s="0" t="n">
        <f aca="false">IFERROR(__xludf.dummyfunction("""COMPUTED_VALUE"""),4)</f>
        <v>4</v>
      </c>
      <c r="D109" s="0" t="str">
        <f aca="false">IFERROR(__xludf.dummyfunction("""COMPUTED_VALUE"""),"AICI202110-4-2| Socialización del documento actualizado. (15/09/2021 - 31/12/2021)")</f>
        <v>AICI202110-4-2| Socialización del documento actualizado. (15/09/2021 - 31/12/2021)</v>
      </c>
      <c r="E109" s="0" t="str">
        <f aca="false">IFERROR(__xludf.dummyfunction("""COMPUTED_VALUE"""),"Se evidencia en los soportes de:
Comité Docencia Servicio envío copia de resoluciones y pantallazo de un link de calidad como soporte de la socialización del instructivo de gestión a de comité, pero en el no se aprecia socialización de información relacio"&amp;"nada con el tema, por lo tanto no se avala el soporte.
Faltan soportes de socialización de lineamientos actualizados para el funcionamiento de los comités institucionales y la custodia de los archivos magnéticos y físicos por parte de Calidad a los miembr"&amp;"os de los comités de COPASST, Farmacia, Vigilancia epidemiológica, Mortalidad Infantil, Mortalidad Materna, Donación, Violencia Sexual. Por los cambios directivos presentados últimamente la Subgerencia de prestación de servicios  realizó reunión el día 5 "&amp;"de Agosto de 2022 y  se tiene Acta con la participación de los directores de la subgerencia con el propósito de informar y recapacitar a los Presidentes y secretarios de los comités acorde con las acciones  formuladas.
Los comités de Historias clínicas, É"&amp;"tica de investigación, Ética hospitalaria, Trasfusiones, IAAS y GCES. ya completaron esta acción. Cumplimiento de los comités 50%%")</f>
        <v>Se evidencia en los soportes de: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Faltan soportes de socialización de lineamientos actualizados para el funcionamiento de los comités institucionales y la custodia de los archivos magnéticos y físicos por parte de Calidad a los miembros de los comités de COPASST, Farmacia, Vigilancia epidemiológica, Mortalidad Infantil, Mortalidad Materna, Donación, Violencia Sexual. Por los cambios directivos presentados últimamente la Subgerencia de prestación de servicios  realizó reunión el día 5 de Agosto de 2022 y  se tiene Acta con la participación de los directores de la subgerencia con el propósito de informar y recapacitar a los Presidentes y secretarios de los comités acorde con las acciones  formuladas.
Los comités de Historias clínicas, Ética de investigación, Ética hospitalaria, Trasfusiones, IAAS y GCES. ya completaron esta acción. Cumplimiento de los comités 50%%</v>
      </c>
      <c r="F109" s="0" t="str">
        <f aca="false">IFERROR(__xludf.dummyfunction("""COMPUTED_VALUE"""),"Atrasado")</f>
        <v>Atrasado</v>
      </c>
    </row>
    <row r="110" customFormat="false" ht="14.25" hidden="false" customHeight="false" outlineLevel="0" collapsed="false">
      <c r="A110" s="18" t="str">
        <f aca="false">IFERROR(MID(D110,1,FIND("|",D110)-1)&amp;"-"&amp;C110,"")</f>
        <v>AICI202110-5-2-4</v>
      </c>
      <c r="B110" s="19" t="n">
        <f aca="false">IFERROR(__xludf.dummyfunction("""COMPUTED_VALUE"""),44840)</f>
        <v>44840</v>
      </c>
      <c r="C110" s="0" t="n">
        <f aca="false">IFERROR(__xludf.dummyfunction("""COMPUTED_VALUE"""),4)</f>
        <v>4</v>
      </c>
      <c r="D110" s="0" t="str">
        <f aca="false">IFERROR(__xludf.dummyfunction("""COMPUTED_VALUE"""),"AICI202110-5-2| Socialización de los documentos actualizados. (15/09/2021 - 30/12/2021)")</f>
        <v>AICI202110-5-2| Socialización de los documentos actualizados. (15/09/2021 - 30/12/2021)</v>
      </c>
      <c r="E110" s="0" t="str">
        <f aca="false">IFERROR(__xludf.dummyfunction("""COMPUTED_VALUE"""),"Se evidencia en los soportes de:
Comité Docencia Servicio envío copia de resoluciones y pantallazo de un link de calidad como soporte de la socialización del instructivo de gestión a de comité, pero en el no se aprecia socialización de información relacio"&amp;"nada con el tema, por lo tanto no se avala el soporte.
Faltan soportes de socialización de lineamientos actualizados para el funcionamiento de los comités institucionales y la custodia de los archivos magnéticos y físicos por parte de Calidad a los miembr"&amp;"os de los comités de COPASST, Farmacia, Vigilancia epidemiológica, Mortalidad Infantil, Mortalidad Materna, Donación, Violencia Sexual. Por los cambios directivos presentados últimamente la Subgerencia de prestación de servicios  realizo reunión el día 5 "&amp;"de Agosto de 2022 y  se tiene Acta con la participación de los directores de la subgerencia con el propósito de informar y recapacitar a los Presidentes y secretarios de los comités acorde con las acciones  formuladas.
Los comités de Historias clínicas, É"&amp;"tica de investigación, Ética hospitalaria, Trasfusiones, IAAS y GCES. ya completaron esta acción.  Cumplimiento de los comités 50%%")</f>
        <v>Se evidencia en los soportes de: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Faltan soportes de socialización de lineamientos actualizados para el funcionamiento de los comités institucionales y la custodia de los archivos magnéticos y físicos por parte de Calidad a los miembros de los comités de COPASST, Farmacia, Vigilancia epidemiológica, Mortalidad Infantil, Mortalidad Materna, Donación, Violencia Sexual. Por los cambios directivos presentados últimamente la Subgerencia de prestación de servicios  realizo reunión el día 5 de Agosto de 2022 y  se tiene Acta con la participación de los directores de la subgerencia con el propósito de informar y recapacitar a los Presidentes y secretarios de los comités acorde con las acciones  formuladas.
Los comités de Historias clínicas, Ética de investigación, Ética hospitalaria, Trasfusiones, IAAS y GCES. ya completaron esta acción.  Cumplimiento de los comités 50%%</v>
      </c>
      <c r="F110" s="0" t="str">
        <f aca="false">IFERROR(__xludf.dummyfunction("""COMPUTED_VALUE"""),"Atrasado")</f>
        <v>Atrasado</v>
      </c>
    </row>
    <row r="111" customFormat="false" ht="14.25" hidden="false" customHeight="false" outlineLevel="0" collapsed="false">
      <c r="A111" s="18" t="str">
        <f aca="false">IFERROR(MID(D111,1,FIND("|",D111)-1)&amp;"-"&amp;C111,"")</f>
        <v>AICI202110-6-1-4</v>
      </c>
      <c r="B111" s="19" t="n">
        <f aca="false">IFERROR(__xludf.dummyfunction("""COMPUTED_VALUE"""),44840)</f>
        <v>44840</v>
      </c>
      <c r="C111" s="0" t="n">
        <f aca="false">IFERROR(__xludf.dummyfunction("""COMPUTED_VALUE"""),4)</f>
        <v>4</v>
      </c>
      <c r="D111" s="0" t="str">
        <f aca="false">IFERROR(__xludf.dummyfunction("""COMPUTED_VALUE"""),"AICI202110-6-1| Diligenciamiento de las actas de acuerdo a los lineamientos establecidos en el documento … (15/09/2021 - 30/04/2022)")</f>
        <v>AICI202110-6-1| Diligenciamiento de las actas de acuerdo a los lineamientos establecidos en el documento … (15/09/2021 - 30/04/2022)</v>
      </c>
      <c r="E111" s="0" t="str">
        <f aca="false">IFERROR(__xludf.dummyfunction("""COMPUTED_VALUE"""),"Calidad reporta que se cumple con el diligenciamiento de las actas de acuerdo a los lineamientos establecidos para el seguimiento a compromisos derivados de auditorías, comités, unidades de análisis y protocolos de Londres ES-GC-O-05 (ACTAS COMITES) queda"&amp;" pendiente soporte de actas de los comités de vigilancia epidemiológica,  y COPASST por que no presentan soportes. Cumplimiento de los comités 85,71%")</f>
        <v>Calidad reporta que se cumple con el diligenciamiento de las actas de acuerdo a los lineamientos establecidos para el seguimiento a compromisos derivados de auditorías, comités, unidades de análisis y protocolos de Londres ES-GC-O-05 (ACTAS COMITES) queda pendiente soporte de actas de los comités de vigilancia epidemiológica,  y COPASST por que no presentan soportes. Cumplimiento de los comités 85,71%</v>
      </c>
      <c r="F111" s="0" t="str">
        <f aca="false">IFERROR(__xludf.dummyfunction("""COMPUTED_VALUE"""),"Atrasado")</f>
        <v>Atrasado</v>
      </c>
    </row>
    <row r="112" customFormat="false" ht="14.25" hidden="false" customHeight="false" outlineLevel="0" collapsed="false">
      <c r="A112" s="18" t="str">
        <f aca="false">IFERROR(MID(D112,1,FIND("|",D112)-1)&amp;"-"&amp;C112,"")</f>
        <v>AICI202110-6-2-4</v>
      </c>
      <c r="B112" s="19" t="n">
        <f aca="false">IFERROR(__xludf.dummyfunction("""COMPUTED_VALUE"""),44840)</f>
        <v>44840</v>
      </c>
      <c r="C112" s="0" t="n">
        <f aca="false">IFERROR(__xludf.dummyfunction("""COMPUTED_VALUE"""),4)</f>
        <v>4</v>
      </c>
      <c r="D112" s="0" t="str">
        <f aca="false">IFERROR(__xludf.dummyfunction("""COMPUTED_VALUE"""),"AICI202110-6-2| Actualizar y socializar Herramienta de seguimiento a la Gestión de los Comités ES-GC-F-45. (15/09/2021 - 31/12/2021)")</f>
        <v>AICI202110-6-2| Actualizar y socializar Herramienta de seguimiento a la Gestión de los Comités ES-GC-F-45. (15/09/2021 - 31/12/2021)</v>
      </c>
      <c r="E112" s="0" t="str">
        <f aca="false">IFERROR(__xludf.dummyfunction("""COMPUTED_VALUE"""),"Dentro de los soportes enviados se encuentra el formato ES-GC-F-45-02-Herramienta de seguimiento de la gestión de comités, sin embargo no hay soportes de socialización del formato hacia los comités, por lo que queda pendiente esa actividad. ")</f>
        <v>Dentro de los soportes enviados se encuentra el formato ES-GC-F-45-02-Herramienta de seguimiento de la gestión de comités, sin embargo no hay soportes de socialización del formato hacia los comités, por lo que queda pendiente esa actividad. </v>
      </c>
      <c r="F112" s="0" t="str">
        <f aca="false">IFERROR(__xludf.dummyfunction("""COMPUTED_VALUE"""),"Atrasado")</f>
        <v>Atrasado</v>
      </c>
    </row>
    <row r="113" customFormat="false" ht="14.25" hidden="false" customHeight="false" outlineLevel="0" collapsed="false">
      <c r="A113" s="18" t="str">
        <f aca="false">IFERROR(MID(D113,1,FIND("|",D113)-1)&amp;"-"&amp;C113,"")</f>
        <v>AICI202110-6-3-4</v>
      </c>
      <c r="B113" s="19" t="n">
        <f aca="false">IFERROR(__xludf.dummyfunction("""COMPUTED_VALUE"""),44840)</f>
        <v>44840</v>
      </c>
      <c r="C113" s="0" t="n">
        <f aca="false">IFERROR(__xludf.dummyfunction("""COMPUTED_VALUE"""),4)</f>
        <v>4</v>
      </c>
      <c r="D113" s="0" t="str">
        <f aca="false">IFERROR(__xludf.dummyfunction("""COMPUTED_VALUE"""),"AICI202110-6-3| Realizar verificación de la calidad de las actas a través del seguimiento realizado por la Oficina de calidad (01/01/2022 - 30/04/2022)")</f>
        <v>AICI202110-6-3| Realizar verificación de la calidad de las actas a través del seguimiento realizado por la Oficina de calidad (01/01/2022 - 30/04/2022)</v>
      </c>
      <c r="E113" s="0" t="str">
        <f aca="false">IFERROR(__xludf.dummyfunction("""COMPUTED_VALUE"""),"El formato ES-GC-F-45-02-Herramienta de seguimiento de la gestión de comités entregado por Calidad  evidencia que se revisaron la calidad de las actas de los comités de  -Farmacia y Terapéutica - Vigilancia epidemiológica -Trasfusiones - Control y Prevenc"&amp;"ión de IAAS - GCES -Historias Clínicas -Materno infantil - Materno Perinatal - Violencia Sexual -Donación y Trasplantes, sin embargo falta la verificación en el resto de los comités auditados. (Ética hospitalaria - Ética de investigación -Docencia y Servi"&amp;"cio –COPASST). ")</f>
        <v>El formato ES-GC-F-45-02-Herramienta de seguimiento de la gestión de comités entregado por Calidad  evidencia que se revisaron la calidad de las actas de los comités de  -Farmacia y Terapéutica - Vigilancia epidemiológica -Trasfusiones - Control y Prevención de IAAS - GCES -Historias Clínicas -Materno infantil - Materno Perinatal - Violencia Sexual -Donación y Trasplantes, sin embargo falta la verificación en el resto de los comités auditados. (Ética hospitalaria - Ética de investigación -Docencia y Servicio –COPASST). </v>
      </c>
      <c r="F113" s="0" t="str">
        <f aca="false">IFERROR(__xludf.dummyfunction("""COMPUTED_VALUE"""),"Atrasado")</f>
        <v>Atrasado</v>
      </c>
    </row>
    <row r="114" customFormat="false" ht="14.25" hidden="false" customHeight="false" outlineLevel="0" collapsed="false">
      <c r="A114" s="18" t="str">
        <f aca="false">IFERROR(MID(D114,1,FIND("|",D114)-1)&amp;"-"&amp;C114,"")</f>
        <v>AICI202110-6-4-4</v>
      </c>
      <c r="B114" s="19" t="n">
        <f aca="false">IFERROR(__xludf.dummyfunction("""COMPUTED_VALUE"""),44840)</f>
        <v>44840</v>
      </c>
      <c r="C114" s="0" t="n">
        <f aca="false">IFERROR(__xludf.dummyfunction("""COMPUTED_VALUE"""),4)</f>
        <v>4</v>
      </c>
      <c r="D114" s="0" t="str">
        <f aca="false">IFERROR(__xludf.dummyfunction("""COMPUTED_VALUE"""),"AICI202110-6-4| Presentar informe de los hallazgos a cada comité (01/05/2022 - 31/05/2022)")</f>
        <v>AICI202110-6-4| Presentar informe de los hallazgos a cada comité (01/05/2022 - 31/05/2022)</v>
      </c>
      <c r="E114" s="0" t="str">
        <f aca="false">IFERROR(__xludf.dummyfunction("""COMPUTED_VALUE"""),"No se evidencian soportes para esta acción ")</f>
        <v>No se evidencian soportes para esta acción </v>
      </c>
      <c r="F114" s="0" t="str">
        <f aca="false">IFERROR(__xludf.dummyfunction("""COMPUTED_VALUE"""),"Atrasado")</f>
        <v>Atrasado</v>
      </c>
    </row>
    <row r="115" customFormat="false" ht="14.25" hidden="false" customHeight="false" outlineLevel="0" collapsed="false">
      <c r="A115" s="18" t="str">
        <f aca="false">IFERROR(MID(D115,1,FIND("|",D115)-1)&amp;"-"&amp;C115,"")</f>
        <v>AICI202110-7-1-4</v>
      </c>
      <c r="B115" s="19" t="n">
        <f aca="false">IFERROR(__xludf.dummyfunction("""COMPUTED_VALUE"""),44840)</f>
        <v>44840</v>
      </c>
      <c r="C115" s="0" t="n">
        <f aca="false">IFERROR(__xludf.dummyfunction("""COMPUTED_VALUE"""),4)</f>
        <v>4</v>
      </c>
      <c r="D115" s="0" t="str">
        <f aca="false">IFERROR(__xludf.dummyfunction("""COMPUTED_VALUE"""),"AICI202110-7-1| Socializar los Lineamientos generales para el seguimiento a compromisos derivados de auditorías … (15/09/2021 - 31/12/2021)")</f>
        <v>AICI202110-7-1| Socializar los Lineamientos generales para el seguimiento a compromisos derivados de auditorías … (15/09/2021 - 31/12/2021)</v>
      </c>
      <c r="E115" s="0" t="str">
        <f aca="false">IFERROR(__xludf.dummyfunction("""COMPUTED_VALUE"""),"Calidad allega las siguientes evidencias: El comité de trasfusiones  presenta las actas No. 25 y 26  y el Comité de Ética hospitalaria presenta acta 48 que incluyen socialización de lineamiento de seguimiento a compromisos, e instructivo de gestión de com"&amp;"ités, por lo tanto cumplen. Comité Docencia servicio allega soportes que no incluyen documento de lineamientos descritos en la acción.  No cumple, No se  entregan soportes de que se haya hecho socialización de los Lineamientos generales para el seguimient"&amp;"o a compromisos derivados de auditorías, comités, unidades de análisis y protocolos de Londres ES-GC-O-05 en cuanto a formulación, seguimiento y evaluación de los planes de mejora derivados de los comités en los comités de Farmacia, Vigilancia epidemiológ"&amp;"ica, Mortalidad Infantil, Mortalidad materna, IAAS, GCES, Donación, Violencia Sexual COPASST Cumplimiento de los comités 42,85%")</f>
        <v>Calidad allega las siguientes evidencias: El comité de trasfusiones  presenta las actas No. 25 y 26  y el Comité de Ética hospitalaria presenta acta 48 que incluyen socialización de lineamiento de seguimiento a compromisos, e instructivo de gestión de comités, por lo tanto cumplen. Comité Docencia servicio allega soportes que no incluyen documento de lineamientos descritos en la acción.  No cumple, No se  entregan soportes de que se haya hecho socialización de los Lineamientos generales para el seguimiento a compromisos derivados de auditorías, comités, unidades de análisis y protocolos de Londres ES-GC-O-05 en cuanto a formulación, seguimiento y evaluación de los planes de mejora derivados de los comités en los comités de Farmacia, Vigilancia epidemiológica, Mortalidad Infantil, Mortalidad materna, IAAS, GCES, Donación, Violencia Sexual COPASST Cumplimiento de los comités 42,85%</v>
      </c>
      <c r="F115" s="0" t="str">
        <f aca="false">IFERROR(__xludf.dummyfunction("""COMPUTED_VALUE"""),"Atrasado")</f>
        <v>Atrasado</v>
      </c>
    </row>
    <row r="116" customFormat="false" ht="14.25" hidden="false" customHeight="false" outlineLevel="0" collapsed="false">
      <c r="A116" s="18" t="str">
        <f aca="false">IFERROR(MID(D116,1,FIND("|",D116)-1)&amp;"-"&amp;C116,"")</f>
        <v>AICI202110-7-2-4</v>
      </c>
      <c r="B116" s="19" t="n">
        <f aca="false">IFERROR(__xludf.dummyfunction("""COMPUTED_VALUE"""),44840)</f>
        <v>44840</v>
      </c>
      <c r="C116" s="0" t="n">
        <f aca="false">IFERROR(__xludf.dummyfunction("""COMPUTED_VALUE"""),4)</f>
        <v>4</v>
      </c>
      <c r="D116" s="0" t="str">
        <f aca="false">IFERROR(__xludf.dummyfunction("""COMPUTED_VALUE"""),"AICI202110-7-2| Socializar el Instructivo para la Gestión de los Comités Institucionales ES-GC-I-16 actualizado … (15/09/2021 - 31/12/2021)")</f>
        <v>AICI202110-7-2| Socializar el Instructivo para la Gestión de los Comités Institucionales ES-GC-I-16 actualizado … (15/09/2021 - 31/12/2021)</v>
      </c>
      <c r="E116" s="0" t="str">
        <f aca="false">IFERROR(__xludf.dummyfunction("""COMPUTED_VALUE"""),"Se evidencia en los soportes de:
Comité Docencia Servicio envío copia de resoluciones y pantallazo de un link de calidad como soporte de la socialización del instructivo de gestión a de comité, pero en el no se aprecia socialización de información relacio"&amp;"nada con el tema, por lo tanto no se avala el soporte.
Faltan soportes de socialización de lineamientos actualizados para el funcionamiento de los comités institucionales y la custodia de los archivos magnéticos y físicos por parte de Calidad a los miembr"&amp;"os de los comités de COPASST, Farmacia, Vigilancia epidemiológica, Mortalidad Infantil, Mortalidad Materna, Donación, Violencia Sexual. Por los cambios directivos presentados últimamente la Subgerencia de prestación de servicios  realizo reunión el día 5 "&amp;"de Agosto de 2022 y  se tiene Acta con la participación de los directores de la subgerencia con el propósito de informar y recapacitar a los Presidentes y secretarios de los comités acorde con las acciones  formuladas.
Los comités de Historias clínicas, É"&amp;"tica de investigación, Ética hospitalaria, Trasfusiones, IAAS y GCES. ya completaron esta acción.  Cumplimiento de los comités 50%%")</f>
        <v>Se evidencia en los soportes de: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Faltan soportes de socialización de lineamientos actualizados para el funcionamiento de los comités institucionales y la custodia de los archivos magnéticos y físicos por parte de Calidad a los miembros de los comités de COPASST, Farmacia, Vigilancia epidemiológica, Mortalidad Infantil, Mortalidad Materna, Donación, Violencia Sexual. Por los cambios directivos presentados últimamente la Subgerencia de prestación de servicios  realizo reunión el día 5 de Agosto de 2022 y  se tiene Acta con la participación de los directores de la subgerencia con el propósito de informar y recapacitar a los Presidentes y secretarios de los comités acorde con las acciones  formuladas.
Los comités de Historias clínicas, Ética de investigación, Ética hospitalaria, Trasfusiones, IAAS y GCES. ya completaron esta acción.  Cumplimiento de los comités 50%%</v>
      </c>
      <c r="F116" s="0" t="str">
        <f aca="false">IFERROR(__xludf.dummyfunction("""COMPUTED_VALUE"""),"Atrasado")</f>
        <v>Atrasado</v>
      </c>
    </row>
    <row r="117" customFormat="false" ht="14.25" hidden="false" customHeight="false" outlineLevel="0" collapsed="false">
      <c r="A117" s="18" t="str">
        <f aca="false">IFERROR(MID(D117,1,FIND("|",D117)-1)&amp;"-"&amp;C117,"")</f>
        <v>AICI202110-7-3-4</v>
      </c>
      <c r="B117" s="19" t="n">
        <f aca="false">IFERROR(__xludf.dummyfunction("""COMPUTED_VALUE"""),44840)</f>
        <v>44840</v>
      </c>
      <c r="C117" s="0" t="n">
        <f aca="false">IFERROR(__xludf.dummyfunction("""COMPUTED_VALUE"""),4)</f>
        <v>4</v>
      </c>
      <c r="D117" s="0" t="str">
        <f aca="false">IFERROR(__xludf.dummyfunction("""COMPUTED_VALUE"""),"AICI202110-7-3| Realizar verificación de la calidad de los planes de mejora y planes de acción a través del … (01/01/2022 - 30/04/2022)")</f>
        <v>AICI202110-7-3| Realizar verificación de la calidad de los planes de mejora y planes de acción a través del … (01/01/2022 - 30/04/2022)</v>
      </c>
      <c r="E117" s="0" t="str">
        <f aca="false">IFERROR(__xludf.dummyfunction("""COMPUTED_VALUE"""),"Para el periodo de verificación del seguimiento no se reciben avances y/o soportes para esta acción ")</f>
        <v>Para el periodo de verificación del seguimiento no se reciben avances y/o soportes para esta acción </v>
      </c>
      <c r="F117" s="0" t="str">
        <f aca="false">IFERROR(__xludf.dummyfunction("""COMPUTED_VALUE"""),"Atrasado")</f>
        <v>Atrasado</v>
      </c>
    </row>
    <row r="118" customFormat="false" ht="14.25" hidden="false" customHeight="false" outlineLevel="0" collapsed="false">
      <c r="A118" s="18" t="str">
        <f aca="false">IFERROR(MID(D118,1,FIND("|",D118)-1)&amp;"-"&amp;C118,"")</f>
        <v>AICI202110-7-4-4</v>
      </c>
      <c r="B118" s="19" t="n">
        <f aca="false">IFERROR(__xludf.dummyfunction("""COMPUTED_VALUE"""),44840)</f>
        <v>44840</v>
      </c>
      <c r="C118" s="0" t="n">
        <f aca="false">IFERROR(__xludf.dummyfunction("""COMPUTED_VALUE"""),4)</f>
        <v>4</v>
      </c>
      <c r="D118" s="0" t="str">
        <f aca="false">IFERROR(__xludf.dummyfunction("""COMPUTED_VALUE"""),"AICI202110-7-4| Presentar informe de los hallazgos a cada comité (01/05/2022 - 31/05/2022)")</f>
        <v>AICI202110-7-4| Presentar informe de los hallazgos a cada comité (01/05/2022 - 31/05/2022)</v>
      </c>
      <c r="E118" s="0" t="str">
        <f aca="false">IFERROR(__xludf.dummyfunction("""COMPUTED_VALUE"""),"Para el periodo de verificación del seguimiento no se reciben avances y/o soportes para esta acción ")</f>
        <v>Para el periodo de verificación del seguimiento no se reciben avances y/o soportes para esta acción </v>
      </c>
      <c r="F118" s="0" t="str">
        <f aca="false">IFERROR(__xludf.dummyfunction("""COMPUTED_VALUE"""),"Atrasado")</f>
        <v>Atrasado</v>
      </c>
    </row>
    <row r="119" customFormat="false" ht="14.25" hidden="false" customHeight="false" outlineLevel="0" collapsed="false">
      <c r="A119" s="18" t="str">
        <f aca="false">IFERROR(MID(D119,1,FIND("|",D119)-1)&amp;"-"&amp;C119,"")</f>
        <v>AICI202110-8-1-4</v>
      </c>
      <c r="B119" s="19" t="n">
        <f aca="false">IFERROR(__xludf.dummyfunction("""COMPUTED_VALUE"""),44840)</f>
        <v>44840</v>
      </c>
      <c r="C119" s="0" t="n">
        <f aca="false">IFERROR(__xludf.dummyfunction("""COMPUTED_VALUE"""),4)</f>
        <v>4</v>
      </c>
      <c r="D119" s="0" t="str">
        <f aca="false">IFERROR(__xludf.dummyfunction("""COMPUTED_VALUE"""),"AICI202110-8-1| Realizar registro periódico y oportuno de la matriz de compromisos derivados de los comités … (15/09/2021 - 30/04/2022)")</f>
        <v>AICI202110-8-1| Realizar registro periódico y oportuno de la matriz de compromisos derivados de los comités … (15/09/2021 - 30/04/2022)</v>
      </c>
      <c r="E119" s="0" t="str">
        <f aca="false">IFERROR(__xludf.dummyfunction("""COMPUTED_VALUE"""),"El Comité de Ética Hospitalaria entrega soporte de matriz de compromisos, El comité de trasfusiones  presenta actas donde se  registra la matriz de seguimiento de compromisos. - los comités de farmacia, docencia servicio presentan otros formatos que no co"&amp;"rresponden al establecido, los comités de Historias clínica, vigilancia epidemiológica, mortalidad materna, mortalidad infantil, Donación, violencia sexual, Ética de la investigación, COPASST no presentaron soportes. Cumplimiento de los comités 35,71%")</f>
        <v>El Comité de Ética Hospitalaria entrega soporte de matriz de compromisos, El comité de trasfusiones  presenta actas donde se  registra la matriz de seguimiento de compromisos. - los comités de farmacia, docencia servicio presentan otros formatos que no corresponden al establecido, los comités de Historias clínica, vigilancia epidemiológica, mortalidad materna, mortalidad infantil, Donación, violencia sexual, Ética de la investigación, COPASST no presentaron soportes. Cumplimiento de los comités 35,71%</v>
      </c>
      <c r="F119" s="0" t="str">
        <f aca="false">IFERROR(__xludf.dummyfunction("""COMPUTED_VALUE"""),"Atrasado")</f>
        <v>Atrasado</v>
      </c>
    </row>
    <row r="120" customFormat="false" ht="14.25" hidden="false" customHeight="false" outlineLevel="0" collapsed="false">
      <c r="A120" s="18" t="str">
        <f aca="false">IFERROR(MID(D120,1,FIND("|",D120)-1)&amp;"-"&amp;C120,"")</f>
        <v>AICI202110-8-2-4</v>
      </c>
      <c r="B120" s="19" t="n">
        <f aca="false">IFERROR(__xludf.dummyfunction("""COMPUTED_VALUE"""),44840)</f>
        <v>44840</v>
      </c>
      <c r="C120" s="0" t="n">
        <f aca="false">IFERROR(__xludf.dummyfunction("""COMPUTED_VALUE"""),4)</f>
        <v>4</v>
      </c>
      <c r="D120" s="0" t="str">
        <f aca="false">IFERROR(__xludf.dummyfunction("""COMPUTED_VALUE"""),"AICI202110-8-2| Socialización periódica y puntual de los compromisos a los responsables derivados de los comités (15/09/2021 - 30/04/2022)")</f>
        <v>AICI202110-8-2| Socialización periódica y puntual de los compromisos a los responsables derivados de los comités (15/09/2021 - 30/04/2022)</v>
      </c>
      <c r="E120" s="0" t="str">
        <f aca="false">IFERROR(__xludf.dummyfunction("""COMPUTED_VALUE"""),"Calidad realiza revisión y refiere que la socialización periódica de los compromisos adquiridos se realiza durante las reuniones y actas derivadas de los comités institucionales.  Para este periodo de revisión El comité de Donación y trasplantes  entrega "&amp;"2 actas de reunión del 1 y 2 trimestre de 2022 con fechas del 31 de marzo y 30 junio. 
Para los comités de vigilancia epidemiológica y COPASST no presentan soportes para esta acción. Cumplimiento de los comités 85,71%")</f>
        <v>Calidad realiza revisión y refiere que la socialización periódica de los compromisos adquiridos se realiza durante las reuniones y actas derivadas de los comités institucionales.  Para este periodo de revisión El comité de Donación y trasplantes  entrega 2 actas de reunión del 1 y 2 trimestre de 2022 con fechas del 31 de marzo y 30 junio. 
Para los comités de vigilancia epidemiológica y COPASST no presentan soportes para esta acción. Cumplimiento de los comités 85,71%</v>
      </c>
      <c r="F120" s="0" t="str">
        <f aca="false">IFERROR(__xludf.dummyfunction("""COMPUTED_VALUE"""),"Atrasado")</f>
        <v>Atrasado</v>
      </c>
    </row>
    <row r="121" customFormat="false" ht="14.25" hidden="false" customHeight="false" outlineLevel="0" collapsed="false">
      <c r="A121" s="18" t="str">
        <f aca="false">IFERROR(MID(D121,1,FIND("|",D121)-1)&amp;"-"&amp;C121,"")</f>
        <v>AICI202110-8-3-4</v>
      </c>
      <c r="B121" s="19" t="n">
        <f aca="false">IFERROR(__xludf.dummyfunction("""COMPUTED_VALUE"""),44840)</f>
        <v>44840</v>
      </c>
      <c r="C121" s="0" t="n">
        <f aca="false">IFERROR(__xludf.dummyfunction("""COMPUTED_VALUE"""),4)</f>
        <v>4</v>
      </c>
      <c r="D121" s="0" t="str">
        <f aca="false">IFERROR(__xludf.dummyfunction("""COMPUTED_VALUE"""),"AICI202110-8-3| Seguimiento y registro del avance porcentual de cumplimiento de cada compromiso en la matriz… (15/09/2021 - 30/04/2022)")</f>
        <v>AICI202110-8-3| Seguimiento y registro del avance porcentual de cumplimiento de cada compromiso en la matriz… (15/09/2021 - 30/04/2022)</v>
      </c>
      <c r="E121" s="0" t="str">
        <f aca="false">IFERROR(__xludf.dummyfunction("""COMPUTED_VALUE"""),"Calidad realiza revisión y refiere que la socialización periódica de los compromisos adquiridos se realiza durante las reuniones y actas derivadas de los comités institucionales.  Para este periodo de revisión El comité de Donación y trasplantes  entrega "&amp;"2 actas de reunión del 1 y 2 trimestre de 2022 con fechas del 31 de marzo y 30 junio. 
Para los comités de vigilancia epidemiológica y COPASST no presentan soportes para esta acción.  Cumplimiento de los comités 85,71%")</f>
        <v>Calidad realiza revisión y refiere que la socialización periódica de los compromisos adquiridos se realiza durante las reuniones y actas derivadas de los comités institucionales.  Para este periodo de revisión El comité de Donación y trasplantes  entrega 2 actas de reunión del 1 y 2 trimestre de 2022 con fechas del 31 de marzo y 30 junio. 
Para los comités de vigilancia epidemiológica y COPASST no presentan soportes para esta acción.  Cumplimiento de los comités 85,71%</v>
      </c>
      <c r="F121" s="0" t="str">
        <f aca="false">IFERROR(__xludf.dummyfunction("""COMPUTED_VALUE"""),"Atrasado")</f>
        <v>Atrasado</v>
      </c>
    </row>
    <row r="122" customFormat="false" ht="14.25" hidden="false" customHeight="false" outlineLevel="0" collapsed="false">
      <c r="A122" s="18" t="str">
        <f aca="false">IFERROR(MID(D122,1,FIND("|",D122)-1)&amp;"-"&amp;C122,"")</f>
        <v>AICI202110-8-4-4</v>
      </c>
      <c r="B122" s="19" t="n">
        <f aca="false">IFERROR(__xludf.dummyfunction("""COMPUTED_VALUE"""),44840)</f>
        <v>44840</v>
      </c>
      <c r="C122" s="0" t="n">
        <f aca="false">IFERROR(__xludf.dummyfunction("""COMPUTED_VALUE"""),4)</f>
        <v>4</v>
      </c>
      <c r="D122" s="0" t="str">
        <f aca="false">IFERROR(__xludf.dummyfunction("""COMPUTED_VALUE"""),"AICI202110-8-4| Realizar verificación de la calidad de las actas a través del seguimiento realizado por la Oficina de Calidad (15/09/2021 - 30/04/2022)")</f>
        <v>AICI202110-8-4| Realizar verificación de la calidad de las actas a través del seguimiento realizado por la Oficina de Calidad (15/09/2021 - 30/04/2022)</v>
      </c>
      <c r="E122" s="0" t="str">
        <f aca="false">IFERROR(__xludf.dummyfunction("""COMPUTED_VALUE"""),"El formato ES-GC-F-45-02-Herramienta de seguimiento de la gestión de comités entregado por Calidad  evidencia que se revisaron la calidad de las actas de los comités de  -Farmacia y Terapéutica - Vigilancia epidemiológica -Trasfusiones - Control y Prevenc"&amp;"ión de IAAS - GCES -Historias Clínicas -Materno infantil - Materno Perinatal - Violencia Sexual -Donación y Trasplantes, sin embargo falta la verificación en el resto de los comités auditados. (Ética hospitalaria - Ética de investigación -Docencia y Servi"&amp;"cio –COPASST. ")</f>
        <v>El formato ES-GC-F-45-02-Herramienta de seguimiento de la gestión de comités entregado por Calidad  evidencia que se revisaron la calidad de las actas de los comités de  -Farmacia y Terapéutica - Vigilancia epidemiológica -Trasfusiones - Control y Prevención de IAAS - GCES -Historias Clínicas -Materno infantil - Materno Perinatal - Violencia Sexual -Donación y Trasplantes, sin embargo falta la verificación en el resto de los comités auditados. (Ética hospitalaria - Ética de investigación -Docencia y Servicio –COPASST. </v>
      </c>
      <c r="F122" s="0" t="str">
        <f aca="false">IFERROR(__xludf.dummyfunction("""COMPUTED_VALUE"""),"Atrasado")</f>
        <v>Atrasado</v>
      </c>
    </row>
    <row r="123" customFormat="false" ht="14.25" hidden="false" customHeight="false" outlineLevel="0" collapsed="false">
      <c r="A123" s="18" t="str">
        <f aca="false">IFERROR(MID(D123,1,FIND("|",D123)-1)&amp;"-"&amp;C123,"")</f>
        <v>AICI202110-8-5-4</v>
      </c>
      <c r="B123" s="19" t="n">
        <f aca="false">IFERROR(__xludf.dummyfunction("""COMPUTED_VALUE"""),44840)</f>
        <v>44840</v>
      </c>
      <c r="C123" s="0" t="n">
        <f aca="false">IFERROR(__xludf.dummyfunction("""COMPUTED_VALUE"""),4)</f>
        <v>4</v>
      </c>
      <c r="D123" s="0" t="str">
        <f aca="false">IFERROR(__xludf.dummyfunction("""COMPUTED_VALUE"""),"AICI202110-8-5| Presentar informe de los hallazgos a cada comité (01/05/2022 - 31/05/2022)")</f>
        <v>AICI202110-8-5| Presentar informe de los hallazgos a cada comité (01/05/2022 - 31/05/2022)</v>
      </c>
      <c r="E123" s="0" t="str">
        <f aca="false">IFERROR(__xludf.dummyfunction("""COMPUTED_VALUE"""),"No anexan soportes para esta acción ")</f>
        <v>No anexan soportes para esta acción </v>
      </c>
      <c r="F123" s="0" t="str">
        <f aca="false">IFERROR(__xludf.dummyfunction("""COMPUTED_VALUE"""),"Atrasado")</f>
        <v>Atrasado</v>
      </c>
    </row>
    <row r="124" customFormat="false" ht="14.25" hidden="false" customHeight="false" outlineLevel="0" collapsed="false">
      <c r="A124" s="18" t="str">
        <f aca="false">IFERROR(MID(D124,1,FIND("|",D124)-1)&amp;"-"&amp;C124,"")</f>
        <v>AICI202110-9-1-4</v>
      </c>
      <c r="B124" s="19" t="n">
        <f aca="false">IFERROR(__xludf.dummyfunction("""COMPUTED_VALUE"""),44840)</f>
        <v>44840</v>
      </c>
      <c r="C124" s="0" t="n">
        <f aca="false">IFERROR(__xludf.dummyfunction("""COMPUTED_VALUE"""),4)</f>
        <v>4</v>
      </c>
      <c r="D124" s="0" t="str">
        <f aca="false">IFERROR(__xludf.dummyfunction("""COMPUTED_VALUE"""),"AICI202110-9-1| Socializar el Instructivo para la Gestión de los Comités Institucionales ES-GC-I-16 … (15/09/2021 - 31/12/2021)")</f>
        <v>AICI202110-9-1| Socializar el Instructivo para la Gestión de los Comités Institucionales ES-GC-I-16 … (15/09/2021 - 31/12/2021)</v>
      </c>
      <c r="E124" s="0" t="str">
        <f aca="false">IFERROR(__xludf.dummyfunction("""COMPUTED_VALUE"""),"Se evidencia en los soportes de:
Comité Docencia Servicio envío copia de resoluciones y pantallazo de un link de calidad como soporte de la socialización del instructivo de gestión a de comité, pero en el no se aprecia socialización de información relacio"&amp;"nada con el tema, por lo tanto no se avala el soporte.
Faltan soportes de socialización de lineamientos actualizados para el funcionamiento de los comités institucionales y la custodia de los archivos magnéticos y físicos por parte de Calidad a los miembr"&amp;"os de los comités de COPASST, Farmacia, Vigilancia epidemiológica, Mortalidad Infantil, Mortalidad Materna, Donación, Violencia Sexual. Por los cambios directivos presentados últimamente la Subgerencia de prestación de servicios  realizo reunión el día 5 "&amp;"de Agosto de 2022 y  se tiene Acta con la participación de los directores de la subgerencia con el propósito de informar y recapacitar a los Presidentes y secretarios de los comités acorde con las acciones  formuladas.
Los comités de Historias clínicas, É"&amp;"tica de investigación, Ética hospitalaria, Trasfusiones, IAAS y GCES. ya completaron esta acción.
 Cumplimiento de los comités 50%%")</f>
        <v>Se evidencia en los soportes de: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Faltan soportes de socialización de lineamientos actualizados para el funcionamiento de los comités institucionales y la custodia de los archivos magnéticos y físicos por parte de Calidad a los miembros de los comités de COPASST, Farmacia, Vigilancia epidemiológica, Mortalidad Infantil, Mortalidad Materna, Donación, Violencia Sexual. Por los cambios directivos presentados últimamente la Subgerencia de prestación de servicios  realizo reunión el día 5 de Agosto de 2022 y  se tiene Acta con la participación de los directores de la subgerencia con el propósito de informar y recapacitar a los Presidentes y secretarios de los comités acorde con las acciones  formuladas.
Los comités de Historias clínicas, Ética de investigación, Ética hospitalaria, Trasfusiones, IAAS y GCES. ya completaron esta acción.
 Cumplimiento de los comités 50%%</v>
      </c>
      <c r="F124" s="0" t="str">
        <f aca="false">IFERROR(__xludf.dummyfunction("""COMPUTED_VALUE"""),"Atrasado")</f>
        <v>Atrasado</v>
      </c>
    </row>
    <row r="125" customFormat="false" ht="14.25" hidden="false" customHeight="false" outlineLevel="0" collapsed="false">
      <c r="A125" s="18" t="str">
        <f aca="false">IFERROR(MID(D125,1,FIND("|",D125)-1)&amp;"-"&amp;C125,"")</f>
        <v>AICI202110-9-2-4</v>
      </c>
      <c r="B125" s="19" t="n">
        <f aca="false">IFERROR(__xludf.dummyfunction("""COMPUTED_VALUE"""),44840)</f>
        <v>44840</v>
      </c>
      <c r="C125" s="0" t="n">
        <f aca="false">IFERROR(__xludf.dummyfunction("""COMPUTED_VALUE"""),4)</f>
        <v>4</v>
      </c>
      <c r="D125" s="0" t="str">
        <f aca="false">IFERROR(__xludf.dummyfunction("""COMPUTED_VALUE"""),"AICI202110-9-2| elaboración y presentación del informe ejecutivo anual en la primera reunión del año de cada comité (01/02/2022 - 28/02/2022)")</f>
        <v>AICI202110-9-2| elaboración y presentación del informe ejecutivo anual en la primera reunión del año de cada comité (01/02/2022 - 28/02/2022)</v>
      </c>
      <c r="E125" s="0" t="str">
        <f aca="false">IFERROR(__xludf.dummyfunction("""COMPUTED_VALUE"""),"Para el periodo de verificación anexan soporte del comité de donación y Trasplante de informe ejecutivo anual de 2021 con acciones realizadas y actividades desarrolladas durante la vigencia. El comité de trasfusiones adjunto soporte del informe ejecutivo "&amp;"anual del comité.  Los comités de farmacia, vigilancia epidemiológica, Donación, Ética hospitalaria, Docencia Servicio y COPASST no presentan soportes. Los demás comités ya habían cumplido en seguimientos anteriores. Cumplimiento de los comités 71,42%")</f>
        <v>Para el periodo de verificación anexan soporte del comité de donación y Trasplante de informe ejecutivo anual de 2021 con acciones realizadas y actividades desarrolladas durante la vigencia. El comité de trasfusiones adjunto soporte del informe ejecutivo anual del comité.  Los comités de farmacia, vigilancia epidemiológica, Donación, Ética hospitalaria, Docencia Servicio y COPASST no presentan soportes. Los demás comités ya habían cumplido en seguimientos anteriores. Cumplimiento de los comités 71,42%</v>
      </c>
      <c r="F125" s="0" t="str">
        <f aca="false">IFERROR(__xludf.dummyfunction("""COMPUTED_VALUE"""),"Atrasado")</f>
        <v>Atrasado</v>
      </c>
    </row>
    <row r="126" customFormat="false" ht="14.25" hidden="false" customHeight="false" outlineLevel="0" collapsed="false">
      <c r="A126" s="18" t="str">
        <f aca="false">IFERROR(MID(D126,1,FIND("|",D126)-1)&amp;"-"&amp;C126,"")</f>
        <v>AICI202110-9-3-4</v>
      </c>
      <c r="B126" s="19" t="n">
        <f aca="false">IFERROR(__xludf.dummyfunction("""COMPUTED_VALUE"""),44840)</f>
        <v>44840</v>
      </c>
      <c r="C126" s="0" t="n">
        <f aca="false">IFERROR(__xludf.dummyfunction("""COMPUTED_VALUE"""),4)</f>
        <v>4</v>
      </c>
      <c r="D126" s="0" t="str">
        <f aca="false">IFERROR(__xludf.dummyfunction("""COMPUTED_VALUE"""),"AICI202110-9-3| Remisión del informe a gestión de calidad para consolidación, análisis y recomendaciones … (01/02/2022 - 28/02/2022)")</f>
        <v>AICI202110-9-3| Remisión del informe a gestión de calidad para consolidación, análisis y recomendaciones … (01/02/2022 - 28/02/2022)</v>
      </c>
      <c r="E126" s="0" t="str">
        <f aca="false">IFERROR(__xludf.dummyfunction("""COMPUTED_VALUE"""),"El comité de ética de la Investigación y el de trasfusiones  ya cumplieron.  Los comités de historias clínicas, farmacia, vigilancia epidemiológica, mortalidad infantil, mortalidad materna,  infecciones, GCES, Donación Violencia Sexual, Ética hospitalaria"&amp;", Docencia Servicio, COPASST no presentan soportes de la acción. Cumplimiento de los comités 14,28%")</f>
        <v>El comité de ética de la Investigación y el de trasfusiones  ya cumplieron.  Los comités de historias clínicas, farmacia, vigilancia epidemiológica, mortalidad infantil, mortalidad materna,  infecciones, GCES, Donación Violencia Sexual, Ética hospitalaria, Docencia Servicio, COPASST no presentan soportes de la acción. Cumplimiento de los comités 14,28%</v>
      </c>
      <c r="F126" s="0" t="str">
        <f aca="false">IFERROR(__xludf.dummyfunction("""COMPUTED_VALUE"""),"Atrasado")</f>
        <v>Atrasado</v>
      </c>
    </row>
    <row r="127" customFormat="false" ht="14.25" hidden="false" customHeight="false" outlineLevel="0" collapsed="false">
      <c r="A127" s="18" t="str">
        <f aca="false">IFERROR(MID(D127,1,FIND("|",D127)-1)&amp;"-"&amp;C127,"")</f>
        <v>AICI202110-9-4-4</v>
      </c>
      <c r="B127" s="19" t="n">
        <f aca="false">IFERROR(__xludf.dummyfunction("""COMPUTED_VALUE"""),44840)</f>
        <v>44840</v>
      </c>
      <c r="C127" s="0" t="n">
        <f aca="false">IFERROR(__xludf.dummyfunction("""COMPUTED_VALUE"""),4)</f>
        <v>4</v>
      </c>
      <c r="D127" s="0" t="str">
        <f aca="false">IFERROR(__xludf.dummyfunction("""COMPUTED_VALUE"""),"AICI202110-9-4| Elaboración y presentación de informe consolidado que incluya análisis y recomendaciones ... (01/02/2022 - 28/02/2022)")</f>
        <v>AICI202110-9-4| Elaboración y presentación de informe consolidado que incluya análisis y recomendaciones ... (01/02/2022 - 28/02/2022)</v>
      </c>
      <c r="E127" s="0" t="str">
        <f aca="false">IFERROR(__xludf.dummyfunction("""COMPUTED_VALUE"""),"No se evidencia la evaluación de la  totalidad de los comités verificados durante la auditoría, faltando los comités de ética en la investigación, docencia servicio, ética hospitalaria y COPASST ")</f>
        <v>No se evidencia la evaluación de la  totalidad de los comités verificados durante la auditoría, faltando los comités de ética en la investigación, docencia servicio, ética hospitalaria y COPASST </v>
      </c>
      <c r="F127" s="0" t="str">
        <f aca="false">IFERROR(__xludf.dummyfunction("""COMPUTED_VALUE"""),"Atrasado")</f>
        <v>Atrasado</v>
      </c>
    </row>
    <row r="128" customFormat="false" ht="14.25" hidden="false" customHeight="false" outlineLevel="0" collapsed="false">
      <c r="A128" s="18" t="str">
        <f aca="false">IFERROR(MID(D128,1,FIND("|",D128)-1)&amp;"-"&amp;C128,"")</f>
        <v>AICI202110-10-2-4</v>
      </c>
      <c r="B128" s="19" t="n">
        <f aca="false">IFERROR(__xludf.dummyfunction("""COMPUTED_VALUE"""),44840)</f>
        <v>44840</v>
      </c>
      <c r="C128" s="0" t="n">
        <f aca="false">IFERROR(__xludf.dummyfunction("""COMPUTED_VALUE"""),4)</f>
        <v>4</v>
      </c>
      <c r="D128" s="0" t="str">
        <f aca="false">IFERROR(__xludf.dummyfunction("""COMPUTED_VALUE"""),"AICI202110-10-2| Socializar el Instructivo para la Gestión de los Comités Institucionales ES-GC-I-16 … (15/09/2021 - 31/12/2021)")</f>
        <v>AICI202110-10-2| Socializar el Instructivo para la Gestión de los Comités Institucionales ES-GC-I-16 … (15/09/2021 - 31/12/2021)</v>
      </c>
      <c r="E128" s="0" t="str">
        <f aca="false">IFERROR(__xludf.dummyfunction("""COMPUTED_VALUE"""),"Se evidencia en los soportes de:
Comité Docencia Servicio envío copia de resoluciones y pantallazo de un link de calidad como soporte de la socialización del instructivo de gestión a de comité, pero en el no se aprecia socialización de información relacio"&amp;"nada con el tema, por lo tanto no se avala el soporte.
Faltan soportes de socialización de lineamientos actualizados para el funcionamiento de los comités institucionales y la custodia de los archivos magnéticos y físicos por parte de Calidad a los miembr"&amp;"os de los comités de COPASST, Farmacia, Vigilancia epidemiológica, Mortalidad Infantil, Mortalidad Materna, Donación, Violencia Sexual. Por los cambios directivos presentados últimamente la Subgerencia de prestación de servicios  realizo reunión el día 5 "&amp;"de Agosto de 2022 y  se tiene Acta con la participación de los directores de la subgerencia con el propósito de informar y recapacitar a los Presidentes y secretarios de los comités acorde con las acciones  formuladas.
Los comités de Historias clínicas, É"&amp;"tica de investigación, Ética hospitalaria, Trasfusiones, IAAS y GCES. ya completaron esta acción.  Cumplimiento de los comités 50%%")</f>
        <v>Se evidencia en los soportes de:
Comité Docencia Servicio envío copia de resoluciones y pantallazo de un link de calidad como soporte de la socialización del instructivo de gestión a de comité, pero en el no se aprecia socialización de información relacionada con el tema, por lo tanto no se avala el soporte.
Faltan soportes de socialización de lineamientos actualizados para el funcionamiento de los comités institucionales y la custodia de los archivos magnéticos y físicos por parte de Calidad a los miembros de los comités de COPASST, Farmacia, Vigilancia epidemiológica, Mortalidad Infantil, Mortalidad Materna, Donación, Violencia Sexual. Por los cambios directivos presentados últimamente la Subgerencia de prestación de servicios  realizo reunión el día 5 de Agosto de 2022 y  se tiene Acta con la participación de los directores de la subgerencia con el propósito de informar y recapacitar a los Presidentes y secretarios de los comités acorde con las acciones  formuladas.
Los comités de Historias clínicas, Ética de investigación, Ética hospitalaria, Trasfusiones, IAAS y GCES. ya completaron esta acción.  Cumplimiento de los comités 50%%</v>
      </c>
      <c r="F128" s="0" t="str">
        <f aca="false">IFERROR(__xludf.dummyfunction("""COMPUTED_VALUE"""),"Atrasado")</f>
        <v>Atrasado</v>
      </c>
    </row>
    <row r="129" customFormat="false" ht="14.25" hidden="false" customHeight="false" outlineLevel="0" collapsed="false">
      <c r="A129" s="18" t="str">
        <f aca="false">IFERROR(MID(D129,1,FIND("|",D129)-1)&amp;"-"&amp;C129,"")</f>
        <v>AICI202110-10-3-4</v>
      </c>
      <c r="B129" s="19" t="n">
        <f aca="false">IFERROR(__xludf.dummyfunction("""COMPUTED_VALUE"""),44840)</f>
        <v>44840</v>
      </c>
      <c r="C129" s="0" t="n">
        <f aca="false">IFERROR(__xludf.dummyfunction("""COMPUTED_VALUE"""),4)</f>
        <v>4</v>
      </c>
      <c r="D129" s="0" t="str">
        <f aca="false">IFERROR(__xludf.dummyfunction("""COMPUTED_VALUE"""),"AICI202110-10-3| Realizar verificación del manejo y custodia del archivo de los comités a través de la … (01/01/2022 - 30/04/2022)")</f>
        <v>AICI202110-10-3| Realizar verificación del manejo y custodia del archivo de los comités a través de la … (01/01/2022 - 30/04/2022)</v>
      </c>
      <c r="E129" s="0" t="str">
        <f aca="false">IFERROR(__xludf.dummyfunction("""COMPUTED_VALUE"""),"No se evidencia ningún soporte que permita sustentar la verificación del manejo y custodia del archivo de  los comités por parte de calidad, se adjunta herramienta de seguimiento para 10 comités únicamente e informe a comités institucionales con el mismo "&amp;"número de comités.  ")</f>
        <v>No se evidencia ningún soporte que permita sustentar la verificación del manejo y custodia del archivo de  los comités por parte de calidad, se adjunta herramienta de seguimiento para 10 comités únicamente e informe a comités institucionales con el mismo número de comités.  </v>
      </c>
      <c r="F129" s="0" t="str">
        <f aca="false">IFERROR(__xludf.dummyfunction("""COMPUTED_VALUE"""),"Atrasado")</f>
        <v>Atrasado</v>
      </c>
    </row>
    <row r="130" customFormat="false" ht="14.25" hidden="false" customHeight="false" outlineLevel="0" collapsed="false">
      <c r="A130" s="18" t="str">
        <f aca="false">IFERROR(MID(D130,1,FIND("|",D130)-1)&amp;"-"&amp;C130,"")</f>
        <v>AICI202110-10-4-4</v>
      </c>
      <c r="B130" s="19" t="n">
        <f aca="false">IFERROR(__xludf.dummyfunction("""COMPUTED_VALUE"""),44840)</f>
        <v>44840</v>
      </c>
      <c r="C130" s="0" t="n">
        <f aca="false">IFERROR(__xludf.dummyfunction("""COMPUTED_VALUE"""),4)</f>
        <v>4</v>
      </c>
      <c r="D130" s="0" t="str">
        <f aca="false">IFERROR(__xludf.dummyfunction("""COMPUTED_VALUE"""),"AICI202110-10-4| Presentar informe de los hallazgos a cada comité (01/05/2022 - 31/05/2022)")</f>
        <v>AICI202110-10-4| Presentar informe de los hallazgos a cada comité (01/05/2022 - 31/05/2022)</v>
      </c>
      <c r="E130" s="0" t="str">
        <f aca="false">IFERROR(__xludf.dummyfunction("""COMPUTED_VALUE"""),"Para el periodo de verificación del seguimiento no se reciben avances y/o soportes para esta acción. ")</f>
        <v>Para el periodo de verificación del seguimiento no se reciben avances y/o soportes para esta acción. </v>
      </c>
      <c r="F130" s="0" t="str">
        <f aca="false">IFERROR(__xludf.dummyfunction("""COMPUTED_VALUE"""),"Atrasado")</f>
        <v>Atrasado</v>
      </c>
    </row>
    <row r="131" customFormat="false" ht="14.25" hidden="false" customHeight="false" outlineLevel="0" collapsed="false">
      <c r="A131" s="18" t="str">
        <f aca="false">IFERROR(MID(D131,1,FIND("|",D131)-1)&amp;"-"&amp;C131,"")</f>
        <v>AICI202110-1-1-5</v>
      </c>
      <c r="B131" s="19" t="n">
        <f aca="false">IFERROR(__xludf.dummyfunction("""COMPUTED_VALUE"""),44949)</f>
        <v>44949</v>
      </c>
      <c r="C131" s="0" t="n">
        <f aca="false">IFERROR(__xludf.dummyfunction("""COMPUTED_VALUE"""),5)</f>
        <v>5</v>
      </c>
      <c r="D131" s="0" t="str">
        <f aca="false">IFERROR(__xludf.dummyfunction("""COMPUTED_VALUE"""),"AICI202110-1-1| Revisión de las normatividad aplicable vigente a cada comité. (15/09/2021 - 30/11/2021)")</f>
        <v>AICI202110-1-1| Revisión de las normatividad aplicable vigente a cada comité. (15/09/2021 - 30/11/2021)</v>
      </c>
      <c r="E131" s="0" t="str">
        <f aca="false">IFERROR(__xludf.dummyfunction("""COMPUTED_VALUE"""),"En diciembre de 2022 se actualizó la normatividad de gestión de comités Institucionales y se publicó en Almera. Durante la vigencia 2022 se actualizaron  las resoluciones de los comités de Gestión y Desempeño, Hospital Universitario, Prevención Control y "&amp;"Vigilancia de Infecciones Asociadas a la  Atención en Salud, donación y trasplantes, Comité Etica Hospitalaria")</f>
        <v>En diciembre de 2022 se actualizó la normatividad de gestión de comités Institucionales y se publicó en Almera. Durante la vigencia 2022 se actualizaron  las resoluciones de los comités de Gestión y Desempeño, Hospital Universitario, Prevención Control y Vigilancia de Infecciones Asociadas a la  Atención en Salud, donación y trasplantes, Comité Etica Hospitalaria</v>
      </c>
      <c r="F131" s="0" t="str">
        <f aca="false">IFERROR(__xludf.dummyfunction("""COMPUTED_VALUE"""),"Completo")</f>
        <v>Completo</v>
      </c>
      <c r="G131" s="0" t="str">
        <f aca="false">IFERROR(__xludf.dummyfunction("""COMPUTED_VALUE"""),"Sí")</f>
        <v>Sí</v>
      </c>
    </row>
    <row r="132" customFormat="false" ht="14.25" hidden="false" customHeight="false" outlineLevel="0" collapsed="false">
      <c r="A132" s="18" t="str">
        <f aca="false">IFERROR(MID(D132,1,FIND("|",D132)-1)&amp;"-"&amp;C132,"")</f>
        <v>AICI202110-1-2-5</v>
      </c>
      <c r="B132" s="19" t="n">
        <f aca="false">IFERROR(__xludf.dummyfunction("""COMPUTED_VALUE"""),44949)</f>
        <v>44949</v>
      </c>
      <c r="C132" s="0" t="n">
        <f aca="false">IFERROR(__xludf.dummyfunction("""COMPUTED_VALUE"""),5)</f>
        <v>5</v>
      </c>
      <c r="D132" s="0" t="str">
        <f aca="false">IFERROR(__xludf.dummyfunction("""COMPUTED_VALUE"""),"AICI202110-1-2| Actualización de las resoluciones que lo requieran de acuerdo a la normatividad vigente. (15/09/2021 - 30/11/2021)")</f>
        <v>AICI202110-1-2| Actualización de las resoluciones que lo requieran de acuerdo a la normatividad vigente. (15/09/2021 - 30/11/2021)</v>
      </c>
      <c r="E132" s="0" t="str">
        <f aca="false">IFERROR(__xludf.dummyfunction("""COMPUTED_VALUE"""),"En diciembre de 2022 se actualizó la normatividad de gestión de comités Institucionales y se publicó en Almera. Durante la vigencia 2022 se actualizaron las resoluciones de los comités de Gestión y Desempeño, Hospital Universitario, Prevención Control y V"&amp;"igilancia de Infecciones Asociadas a la  Atención en Salud, donación y trasplantes, Comité Etica Hospitalaria")</f>
        <v>En diciembre de 2022 se actualizó la normatividad de gestión de comités Institucionales y se publicó en Almera. Durante la vigencia 2022 se actualizaron las resoluciones de los comités de Gestión y Desempeño, Hospital Universitario, Prevención Control y Vigilancia de Infecciones Asociadas a la  Atención en Salud, donación y trasplantes, Comité Etica Hospitalaria</v>
      </c>
      <c r="F132" s="0" t="str">
        <f aca="false">IFERROR(__xludf.dummyfunction("""COMPUTED_VALUE"""),"Completo")</f>
        <v>Completo</v>
      </c>
      <c r="G132" s="0" t="str">
        <f aca="false">IFERROR(__xludf.dummyfunction("""COMPUTED_VALUE"""),"Sí")</f>
        <v>Sí</v>
      </c>
    </row>
    <row r="133" customFormat="false" ht="14.25" hidden="false" customHeight="false" outlineLevel="0" collapsed="false">
      <c r="A133" s="18" t="str">
        <f aca="false">IFERROR(MID(D133,1,FIND("|",D133)-1)&amp;"-"&amp;C133,"")</f>
        <v>AICI202110-1-3-5</v>
      </c>
      <c r="B133" s="19" t="n">
        <f aca="false">IFERROR(__xludf.dummyfunction("""COMPUTED_VALUE"""),44949)</f>
        <v>44949</v>
      </c>
      <c r="C133" s="0" t="n">
        <f aca="false">IFERROR(__xludf.dummyfunction("""COMPUTED_VALUE"""),5)</f>
        <v>5</v>
      </c>
      <c r="D133" s="0" t="str">
        <f aca="false">IFERROR(__xludf.dummyfunction("""COMPUTED_VALUE"""),"AICI202110-1-3| Socialización de las resoluciones actualizadas. (15/09/2021 - 31/12/2021)")</f>
        <v>AICI202110-1-3| Socialización de las resoluciones actualizadas. (15/09/2021 - 31/12/2021)</v>
      </c>
      <c r="E133" s="0" t="str">
        <f aca="false">IFERROR(__xludf.dummyfunction("""COMPUTED_VALUE"""),"En noviembre de 2022 de realizaron jornadas de socialización de lineamientos de comités institucionales, con la participación de 20 personas entre ellas directivos.")</f>
        <v>En noviembre de 2022 de realizaron jornadas de socialización de lineamientos de comités institucionales, con la participación de 20 personas entre ellas directivos.</v>
      </c>
      <c r="F133" s="0" t="str">
        <f aca="false">IFERROR(__xludf.dummyfunction("""COMPUTED_VALUE"""),"Completo")</f>
        <v>Completo</v>
      </c>
      <c r="G133" s="0" t="str">
        <f aca="false">IFERROR(__xludf.dummyfunction("""COMPUTED_VALUE"""),"Sí")</f>
        <v>Sí</v>
      </c>
    </row>
    <row r="134" customFormat="false" ht="14.25" hidden="false" customHeight="false" outlineLevel="0" collapsed="false">
      <c r="A134" s="18" t="str">
        <f aca="false">IFERROR(MID(D134,1,FIND("|",D134)-1)&amp;"-"&amp;C134,"")</f>
        <v>AICI202110-2-1-5</v>
      </c>
      <c r="B134" s="19" t="n">
        <f aca="false">IFERROR(__xludf.dummyfunction("""COMPUTED_VALUE"""),44949)</f>
        <v>44949</v>
      </c>
      <c r="C134" s="0" t="n">
        <f aca="false">IFERROR(__xludf.dummyfunction("""COMPUTED_VALUE"""),5)</f>
        <v>5</v>
      </c>
      <c r="D134" s="0" t="str">
        <f aca="false">IFERROR(__xludf.dummyfunction("""COMPUTED_VALUE"""),"AICI202110-2-1| Revisión de las funciones de los miembros de los comités contenidas en las resoluciones vigentes (15/09/2021 - 30/11/2021)")</f>
        <v>AICI202110-2-1| Revisión de las funciones de los miembros de los comités contenidas en las resoluciones vigentes (15/09/2021 - 30/11/2021)</v>
      </c>
      <c r="E134" s="0" t="str">
        <f aca="false">IFERROR(__xludf.dummyfunction("""COMPUTED_VALUE"""),"Durante la vigencia 2022 se actualizaron las resoluciones de los comités de Gestión y Desempeño, Hospital Universitario, Prevención Control y Vigilancia de Infecciones Asociadas a la  Atención en Salud, donación y trasplantes, Comité Etica Hospitalaria")</f>
        <v>Durante la vigencia 2022 se actualizaron las resoluciones de los comités de Gestión y Desempeño, Hospital Universitario, Prevención Control y Vigilancia de Infecciones Asociadas a la  Atención en Salud, donación y trasplantes, Comité Etica Hospitalaria</v>
      </c>
      <c r="F134" s="0" t="str">
        <f aca="false">IFERROR(__xludf.dummyfunction("""COMPUTED_VALUE"""),"Completo")</f>
        <v>Completo</v>
      </c>
      <c r="G134" s="0" t="str">
        <f aca="false">IFERROR(__xludf.dummyfunction("""COMPUTED_VALUE"""),"Sí")</f>
        <v>Sí</v>
      </c>
    </row>
    <row r="135" customFormat="false" ht="14.25" hidden="false" customHeight="false" outlineLevel="0" collapsed="false">
      <c r="A135" s="18" t="str">
        <f aca="false">IFERROR(MID(D135,1,FIND("|",D135)-1)&amp;"-"&amp;C135,"")</f>
        <v>AICI202110-2-2-5</v>
      </c>
      <c r="B135" s="19" t="n">
        <f aca="false">IFERROR(__xludf.dummyfunction("""COMPUTED_VALUE"""),44949)</f>
        <v>44949</v>
      </c>
      <c r="C135" s="0" t="n">
        <f aca="false">IFERROR(__xludf.dummyfunction("""COMPUTED_VALUE"""),5)</f>
        <v>5</v>
      </c>
      <c r="D135" s="0" t="str">
        <f aca="false">IFERROR(__xludf.dummyfunction("""COMPUTED_VALUE"""),"AICI202110-2-2| Actualización de las resoluciones que lo requieran de acuerdo a la revisión realizada. (15/09/2021 - 30/11/2021)")</f>
        <v>AICI202110-2-2| Actualización de las resoluciones que lo requieran de acuerdo a la revisión realizada. (15/09/2021 - 30/11/2021)</v>
      </c>
      <c r="E135" s="0" t="str">
        <f aca="false">IFERROR(__xludf.dummyfunction("""COMPUTED_VALUE"""),"Durante la vigencia 2022 se actualizaron las resoluciones de los comités de Gestión y Desempeño, Hospital Universitario, Prevención Control y Vigilancia de Infecciones Asociadas a la  Atención en Salud, donación y trasplantes, Comité Etica Hospitalaria")</f>
        <v>Durante la vigencia 2022 se actualizaron las resoluciones de los comités de Gestión y Desempeño, Hospital Universitario, Prevención Control y Vigilancia de Infecciones Asociadas a la  Atención en Salud, donación y trasplantes, Comité Etica Hospitalaria</v>
      </c>
      <c r="F135" s="0" t="str">
        <f aca="false">IFERROR(__xludf.dummyfunction("""COMPUTED_VALUE"""),"Completo")</f>
        <v>Completo</v>
      </c>
      <c r="G135" s="0" t="str">
        <f aca="false">IFERROR(__xludf.dummyfunction("""COMPUTED_VALUE"""),"Sí")</f>
        <v>Sí</v>
      </c>
    </row>
    <row r="136" customFormat="false" ht="14.25" hidden="false" customHeight="false" outlineLevel="0" collapsed="false">
      <c r="A136" s="18" t="str">
        <f aca="false">IFERROR(MID(D136,1,FIND("|",D136)-1)&amp;"-"&amp;C136,"")</f>
        <v>AICI202110-2-3-5</v>
      </c>
      <c r="B136" s="19" t="n">
        <f aca="false">IFERROR(__xludf.dummyfunction("""COMPUTED_VALUE"""),44949)</f>
        <v>44949</v>
      </c>
      <c r="C136" s="0" t="n">
        <f aca="false">IFERROR(__xludf.dummyfunction("""COMPUTED_VALUE"""),5)</f>
        <v>5</v>
      </c>
      <c r="D136" s="0" t="str">
        <f aca="false">IFERROR(__xludf.dummyfunction("""COMPUTED_VALUE"""),"AICI202110-2-3| Socialización de las resoluciones actualizadas (15/09/2021 - 31/12/2021)")</f>
        <v>AICI202110-2-3| Socialización de las resoluciones actualizadas (15/09/2021 - 31/12/2021)</v>
      </c>
      <c r="E136" s="0" t="str">
        <f aca="false">IFERROR(__xludf.dummyfunction("""COMPUTED_VALUE"""),"En noviembre de 2022 de realizaron jornadas de socialización de lineamientos de comités institucionales, con la participación de 20 personas entre ellas directivos.")</f>
        <v>En noviembre de 2022 de realizaron jornadas de socialización de lineamientos de comités institucionales, con la participación de 20 personas entre ellas directivos.</v>
      </c>
      <c r="F136" s="0" t="str">
        <f aca="false">IFERROR(__xludf.dummyfunction("""COMPUTED_VALUE"""),"Completo")</f>
        <v>Completo</v>
      </c>
      <c r="G136" s="0" t="str">
        <f aca="false">IFERROR(__xludf.dummyfunction("""COMPUTED_VALUE"""),"Sí")</f>
        <v>Sí</v>
      </c>
    </row>
    <row r="137" customFormat="false" ht="14.25" hidden="false" customHeight="false" outlineLevel="0" collapsed="false">
      <c r="A137" s="18" t="str">
        <f aca="false">IFERROR(MID(D137,1,FIND("|",D137)-1)&amp;"-"&amp;C137,"")</f>
        <v>AICI202110-3-2-5</v>
      </c>
      <c r="B137" s="19" t="n">
        <f aca="false">IFERROR(__xludf.dummyfunction("""COMPUTED_VALUE"""),44949)</f>
        <v>44949</v>
      </c>
      <c r="C137" s="0" t="n">
        <f aca="false">IFERROR(__xludf.dummyfunction("""COMPUTED_VALUE"""),5)</f>
        <v>5</v>
      </c>
      <c r="D137" s="0" t="str">
        <f aca="false">IFERROR(__xludf.dummyfunction("""COMPUTED_VALUE"""),"AICI202110-3-2| Documentar la inducción y capacitación en los lineamientos actualizados para el funcionamiento ,,, (15/09/2021 - 31/12/2021)")</f>
        <v>AICI202110-3-2| Documentar la inducción y capacitación en los lineamientos actualizados para el funcionamiento ,,, (15/09/2021 - 31/12/2021)</v>
      </c>
      <c r="E137" s="0" t="str">
        <f aca="false">IFERROR(__xludf.dummyfunction("""COMPUTED_VALUE"""),"En noviembre de 2022 de realizaron jornadas de socialización de lineamientos de comités institucionales, con la participación de 20 personas entre ellas directivos.")</f>
        <v>En noviembre de 2022 de realizaron jornadas de socialización de lineamientos de comités institucionales, con la participación de 20 personas entre ellas directivos.</v>
      </c>
      <c r="F137" s="0" t="str">
        <f aca="false">IFERROR(__xludf.dummyfunction("""COMPUTED_VALUE"""),"Completo")</f>
        <v>Completo</v>
      </c>
      <c r="G137" s="0" t="str">
        <f aca="false">IFERROR(__xludf.dummyfunction("""COMPUTED_VALUE"""),"Sí")</f>
        <v>Sí</v>
      </c>
    </row>
    <row r="138" customFormat="false" ht="14.25" hidden="false" customHeight="false" outlineLevel="0" collapsed="false">
      <c r="A138" s="18" t="str">
        <f aca="false">IFERROR(MID(D138,1,FIND("|",D138)-1)&amp;"-"&amp;C138,"")</f>
        <v>AICI202110-4-2-5</v>
      </c>
      <c r="B138" s="19" t="n">
        <f aca="false">IFERROR(__xludf.dummyfunction("""COMPUTED_VALUE"""),44949)</f>
        <v>44949</v>
      </c>
      <c r="C138" s="0" t="n">
        <f aca="false">IFERROR(__xludf.dummyfunction("""COMPUTED_VALUE"""),5)</f>
        <v>5</v>
      </c>
      <c r="D138" s="0" t="str">
        <f aca="false">IFERROR(__xludf.dummyfunction("""COMPUTED_VALUE"""),"AICI202110-4-2| Socialización del documento actualizado. (15/09/2021 - 31/12/2021)")</f>
        <v>AICI202110-4-2| Socialización del documento actualizado. (15/09/2021 - 31/12/2021)</v>
      </c>
      <c r="E138" s="0" t="str">
        <f aca="false">IFERROR(__xludf.dummyfunction("""COMPUTED_VALUE"""),"En noviembre de 2022 de realizaron jornadas de socialización de lineamientos de comités institucionales, con la participación de 20 personas entre ellas directivos.")</f>
        <v>En noviembre de 2022 de realizaron jornadas de socialización de lineamientos de comités institucionales, con la participación de 20 personas entre ellas directivos.</v>
      </c>
      <c r="F138" s="0" t="str">
        <f aca="false">IFERROR(__xludf.dummyfunction("""COMPUTED_VALUE"""),"Completo")</f>
        <v>Completo</v>
      </c>
      <c r="G138" s="0" t="str">
        <f aca="false">IFERROR(__xludf.dummyfunction("""COMPUTED_VALUE"""),"Sí")</f>
        <v>Sí</v>
      </c>
    </row>
    <row r="139" customFormat="false" ht="14.25" hidden="false" customHeight="false" outlineLevel="0" collapsed="false">
      <c r="A139" s="18" t="str">
        <f aca="false">IFERROR(MID(D139,1,FIND("|",D139)-1)&amp;"-"&amp;C139,"")</f>
        <v>AICI202110-5-2-5</v>
      </c>
      <c r="B139" s="19" t="n">
        <f aca="false">IFERROR(__xludf.dummyfunction("""COMPUTED_VALUE"""),44949)</f>
        <v>44949</v>
      </c>
      <c r="C139" s="0" t="n">
        <f aca="false">IFERROR(__xludf.dummyfunction("""COMPUTED_VALUE"""),5)</f>
        <v>5</v>
      </c>
      <c r="D139" s="0" t="str">
        <f aca="false">IFERROR(__xludf.dummyfunction("""COMPUTED_VALUE"""),"AICI202110-5-2| Socialización de los documentos actualizados. (15/09/2021 - 30/12/2021)")</f>
        <v>AICI202110-5-2| Socialización de los documentos actualizados. (15/09/2021 - 30/12/2021)</v>
      </c>
      <c r="E139" s="0" t="str">
        <f aca="false">IFERROR(__xludf.dummyfunction("""COMPUTED_VALUE"""),"En noviembre de 2022 de realizaron jornadas de socialización de lineamientos de comités institucionales, con la participación de 20 personas entre ellas directivos.")</f>
        <v>En noviembre de 2022 de realizaron jornadas de socialización de lineamientos de comités institucionales, con la participación de 20 personas entre ellas directivos.</v>
      </c>
      <c r="F139" s="0" t="str">
        <f aca="false">IFERROR(__xludf.dummyfunction("""COMPUTED_VALUE"""),"Completo")</f>
        <v>Completo</v>
      </c>
      <c r="G139" s="0" t="str">
        <f aca="false">IFERROR(__xludf.dummyfunction("""COMPUTED_VALUE"""),"Sí")</f>
        <v>Sí</v>
      </c>
    </row>
    <row r="140" customFormat="false" ht="14.25" hidden="false" customHeight="false" outlineLevel="0" collapsed="false">
      <c r="A140" s="18" t="str">
        <f aca="false">IFERROR(MID(D140,1,FIND("|",D140)-1)&amp;"-"&amp;C140,"")</f>
        <v>AICI202110-6-1-5</v>
      </c>
      <c r="B140" s="19" t="n">
        <f aca="false">IFERROR(__xludf.dummyfunction("""COMPUTED_VALUE"""),44949)</f>
        <v>44949</v>
      </c>
      <c r="C140" s="0" t="n">
        <f aca="false">IFERROR(__xludf.dummyfunction("""COMPUTED_VALUE"""),5)</f>
        <v>5</v>
      </c>
      <c r="D140" s="0" t="str">
        <f aca="false">IFERROR(__xludf.dummyfunction("""COMPUTED_VALUE"""),"AICI202110-6-1| Diligenciamiento de las actas de acuerdo a los lineamientos establecidos en el documento … (15/09/2021 - 30/04/2022)")</f>
        <v>AICI202110-6-1| Diligenciamiento de las actas de acuerdo a los lineamientos establecidos en el documento … (15/09/2021 - 30/04/2022)</v>
      </c>
      <c r="E140"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40" s="0" t="str">
        <f aca="false">IFERROR(__xludf.dummyfunction("""COMPUTED_VALUE"""),"En desarrollo")</f>
        <v>En desarrollo</v>
      </c>
    </row>
    <row r="141" customFormat="false" ht="14.25" hidden="false" customHeight="false" outlineLevel="0" collapsed="false">
      <c r="A141" s="18" t="str">
        <f aca="false">IFERROR(MID(D141,1,FIND("|",D141)-1)&amp;"-"&amp;C141,"")</f>
        <v>AICI202110-6-2-5</v>
      </c>
      <c r="B141" s="19" t="n">
        <f aca="false">IFERROR(__xludf.dummyfunction("""COMPUTED_VALUE"""),44949)</f>
        <v>44949</v>
      </c>
      <c r="C141" s="0" t="n">
        <f aca="false">IFERROR(__xludf.dummyfunction("""COMPUTED_VALUE"""),5)</f>
        <v>5</v>
      </c>
      <c r="D141" s="0" t="str">
        <f aca="false">IFERROR(__xludf.dummyfunction("""COMPUTED_VALUE"""),"AICI202110-6-2| Actualizar y socializar Herramienta de seguimiento a la Gestión de los Comités ES-GC-F-45. (15/09/2021 - 31/12/2021)")</f>
        <v>AICI202110-6-2| Actualizar y socializar Herramienta de seguimiento a la Gestión de los Comités ES-GC-F-45. (15/09/2021 - 31/12/2021)</v>
      </c>
      <c r="E141"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41" s="0" t="str">
        <f aca="false">IFERROR(__xludf.dummyfunction("""COMPUTED_VALUE"""),"En desarrollo")</f>
        <v>En desarrollo</v>
      </c>
    </row>
    <row r="142" customFormat="false" ht="14.25" hidden="false" customHeight="false" outlineLevel="0" collapsed="false">
      <c r="A142" s="18" t="str">
        <f aca="false">IFERROR(MID(D142,1,FIND("|",D142)-1)&amp;"-"&amp;C142,"")</f>
        <v>AICI202110-6-3-5</v>
      </c>
      <c r="B142" s="19" t="n">
        <f aca="false">IFERROR(__xludf.dummyfunction("""COMPUTED_VALUE"""),44949)</f>
        <v>44949</v>
      </c>
      <c r="C142" s="0" t="n">
        <f aca="false">IFERROR(__xludf.dummyfunction("""COMPUTED_VALUE"""),5)</f>
        <v>5</v>
      </c>
      <c r="D142" s="0" t="str">
        <f aca="false">IFERROR(__xludf.dummyfunction("""COMPUTED_VALUE"""),"AICI202110-6-3| Realizar verificación de la calidad de las actas a través del seguimiento realizado por la Oficina de calidad (01/01/2022 - 30/04/2022)")</f>
        <v>AICI202110-6-3| Realizar verificación de la calidad de las actas a través del seguimiento realizado por la Oficina de calidad (01/01/2022 - 30/04/2022)</v>
      </c>
      <c r="E142"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42" s="0" t="str">
        <f aca="false">IFERROR(__xludf.dummyfunction("""COMPUTED_VALUE"""),"En desarrollo")</f>
        <v>En desarrollo</v>
      </c>
    </row>
    <row r="143" customFormat="false" ht="14.25" hidden="false" customHeight="false" outlineLevel="0" collapsed="false">
      <c r="A143" s="18" t="str">
        <f aca="false">IFERROR(MID(D143,1,FIND("|",D143)-1)&amp;"-"&amp;C143,"")</f>
        <v>AICI202110-6-4-5</v>
      </c>
      <c r="B143" s="19" t="n">
        <f aca="false">IFERROR(__xludf.dummyfunction("""COMPUTED_VALUE"""),44949)</f>
        <v>44949</v>
      </c>
      <c r="C143" s="0" t="n">
        <f aca="false">IFERROR(__xludf.dummyfunction("""COMPUTED_VALUE"""),5)</f>
        <v>5</v>
      </c>
      <c r="D143" s="0" t="str">
        <f aca="false">IFERROR(__xludf.dummyfunction("""COMPUTED_VALUE"""),"AICI202110-6-4| Presentar informe de los hallazgos a cada comité (01/05/2022 - 31/05/2022)")</f>
        <v>AICI202110-6-4| Presentar informe de los hallazgos a cada comité (01/05/2022 - 31/05/2022)</v>
      </c>
      <c r="E143"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43" s="0" t="str">
        <f aca="false">IFERROR(__xludf.dummyfunction("""COMPUTED_VALUE"""),"En desarrollo")</f>
        <v>En desarrollo</v>
      </c>
    </row>
    <row r="144" customFormat="false" ht="14.25" hidden="false" customHeight="false" outlineLevel="0" collapsed="false">
      <c r="A144" s="18" t="str">
        <f aca="false">IFERROR(MID(D144,1,FIND("|",D144)-1)&amp;"-"&amp;C144,"")</f>
        <v>AICI202110-7-1-5</v>
      </c>
      <c r="B144" s="19" t="n">
        <f aca="false">IFERROR(__xludf.dummyfunction("""COMPUTED_VALUE"""),44949)</f>
        <v>44949</v>
      </c>
      <c r="C144" s="0" t="n">
        <f aca="false">IFERROR(__xludf.dummyfunction("""COMPUTED_VALUE"""),5)</f>
        <v>5</v>
      </c>
      <c r="D144" s="0" t="str">
        <f aca="false">IFERROR(__xludf.dummyfunction("""COMPUTED_VALUE"""),"AICI202110-7-1| Socializar los Lineamientos generales para el seguimiento a compromisos derivados de auditorías … (15/09/2021 - 31/12/2021)")</f>
        <v>AICI202110-7-1| Socializar los Lineamientos generales para el seguimiento a compromisos derivados de auditorías … (15/09/2021 - 31/12/2021)</v>
      </c>
      <c r="E144"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44" s="0" t="str">
        <f aca="false">IFERROR(__xludf.dummyfunction("""COMPUTED_VALUE"""),"En desarrollo")</f>
        <v>En desarrollo</v>
      </c>
    </row>
    <row r="145" customFormat="false" ht="14.25" hidden="false" customHeight="false" outlineLevel="0" collapsed="false">
      <c r="A145" s="18" t="str">
        <f aca="false">IFERROR(MID(D145,1,FIND("|",D145)-1)&amp;"-"&amp;C145,"")</f>
        <v>AICI202110-7-2-5</v>
      </c>
      <c r="B145" s="19" t="n">
        <f aca="false">IFERROR(__xludf.dummyfunction("""COMPUTED_VALUE"""),44949)</f>
        <v>44949</v>
      </c>
      <c r="C145" s="0" t="n">
        <f aca="false">IFERROR(__xludf.dummyfunction("""COMPUTED_VALUE"""),5)</f>
        <v>5</v>
      </c>
      <c r="D145" s="0" t="str">
        <f aca="false">IFERROR(__xludf.dummyfunction("""COMPUTED_VALUE"""),"AICI202110-7-2| Socializar el Instructivo para la Gestión de los Comités Institucionales ES-GC-I-16 actualizado … (15/09/2021 - 31/12/2021)")</f>
        <v>AICI202110-7-2| Socializar el Instructivo para la Gestión de los Comités Institucionales ES-GC-I-16 actualizado … (15/09/2021 - 31/12/2021)</v>
      </c>
      <c r="E145" s="0" t="str">
        <f aca="false">IFERROR(__xludf.dummyfunction("""COMPUTED_VALUE"""),"En noviembre de 2022 de realizaron jornadas de socialización de lineamientos de comités institucionales, con la participación de 20 personas entre ellas directivos, recalcando en en el seguimiento de los planes de accion..")</f>
        <v>En noviembre de 2022 de realizaron jornadas de socialización de lineamientos de comités institucionales, con la participación de 20 personas entre ellas directivos, recalcando en en el seguimiento de los planes de accion..</v>
      </c>
      <c r="F145" s="0" t="str">
        <f aca="false">IFERROR(__xludf.dummyfunction("""COMPUTED_VALUE"""),"Completo")</f>
        <v>Completo</v>
      </c>
      <c r="G145" s="0" t="str">
        <f aca="false">IFERROR(__xludf.dummyfunction("""COMPUTED_VALUE"""),"Sí")</f>
        <v>Sí</v>
      </c>
    </row>
    <row r="146" customFormat="false" ht="14.25" hidden="false" customHeight="false" outlineLevel="0" collapsed="false">
      <c r="A146" s="18" t="str">
        <f aca="false">IFERROR(MID(D146,1,FIND("|",D146)-1)&amp;"-"&amp;C146,"")</f>
        <v>AICI202110-7-3-5</v>
      </c>
      <c r="B146" s="19" t="n">
        <f aca="false">IFERROR(__xludf.dummyfunction("""COMPUTED_VALUE"""),44949)</f>
        <v>44949</v>
      </c>
      <c r="C146" s="0" t="n">
        <f aca="false">IFERROR(__xludf.dummyfunction("""COMPUTED_VALUE"""),5)</f>
        <v>5</v>
      </c>
      <c r="D146" s="0" t="str">
        <f aca="false">IFERROR(__xludf.dummyfunction("""COMPUTED_VALUE"""),"AICI202110-7-3| Realizar verificación de la calidad de los planes de mejora y planes de acción a través del … (01/01/2022 - 30/04/2022)")</f>
        <v>AICI202110-7-3| Realizar verificación de la calidad de los planes de mejora y planes de acción a través del … (01/01/2022 - 30/04/2022)</v>
      </c>
      <c r="E146"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46" s="0" t="str">
        <f aca="false">IFERROR(__xludf.dummyfunction("""COMPUTED_VALUE"""),"En desarrollo")</f>
        <v>En desarrollo</v>
      </c>
    </row>
    <row r="147" customFormat="false" ht="14.25" hidden="false" customHeight="false" outlineLevel="0" collapsed="false">
      <c r="A147" s="18" t="str">
        <f aca="false">IFERROR(MID(D147,1,FIND("|",D147)-1)&amp;"-"&amp;C147,"")</f>
        <v>AICI202110-7-4-5</v>
      </c>
      <c r="B147" s="19" t="n">
        <f aca="false">IFERROR(__xludf.dummyfunction("""COMPUTED_VALUE"""),44949)</f>
        <v>44949</v>
      </c>
      <c r="C147" s="0" t="n">
        <f aca="false">IFERROR(__xludf.dummyfunction("""COMPUTED_VALUE"""),5)</f>
        <v>5</v>
      </c>
      <c r="D147" s="0" t="str">
        <f aca="false">IFERROR(__xludf.dummyfunction("""COMPUTED_VALUE"""),"AICI202110-7-4| Presentar informe de los hallazgos a cada comité (01/05/2022 - 31/05/2022)")</f>
        <v>AICI202110-7-4| Presentar informe de los hallazgos a cada comité (01/05/2022 - 31/05/2022)</v>
      </c>
      <c r="E147"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47" s="0" t="str">
        <f aca="false">IFERROR(__xludf.dummyfunction("""COMPUTED_VALUE"""),"En desarrollo")</f>
        <v>En desarrollo</v>
      </c>
    </row>
    <row r="148" customFormat="false" ht="14.25" hidden="false" customHeight="false" outlineLevel="0" collapsed="false">
      <c r="A148" s="18" t="str">
        <f aca="false">IFERROR(MID(D148,1,FIND("|",D148)-1)&amp;"-"&amp;C148,"")</f>
        <v>AICI202110-8-1-5</v>
      </c>
      <c r="B148" s="19" t="n">
        <f aca="false">IFERROR(__xludf.dummyfunction("""COMPUTED_VALUE"""),44949)</f>
        <v>44949</v>
      </c>
      <c r="C148" s="0" t="n">
        <f aca="false">IFERROR(__xludf.dummyfunction("""COMPUTED_VALUE"""),5)</f>
        <v>5</v>
      </c>
      <c r="D148" s="0" t="str">
        <f aca="false">IFERROR(__xludf.dummyfunction("""COMPUTED_VALUE"""),"AICI202110-8-1| Realizar registro periódico y oportuno de la matriz de compromisos derivados de los comités … (15/09/2021 - 30/04/2022)")</f>
        <v>AICI202110-8-1| Realizar registro periódico y oportuno de la matriz de compromisos derivados de los comités … (15/09/2021 - 30/04/2022)</v>
      </c>
      <c r="E148"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48" s="0" t="str">
        <f aca="false">IFERROR(__xludf.dummyfunction("""COMPUTED_VALUE"""),"En desarrollo")</f>
        <v>En desarrollo</v>
      </c>
    </row>
    <row r="149" customFormat="false" ht="14.25" hidden="false" customHeight="false" outlineLevel="0" collapsed="false">
      <c r="A149" s="18" t="str">
        <f aca="false">IFERROR(MID(D149,1,FIND("|",D149)-1)&amp;"-"&amp;C149,"")</f>
        <v>AICI202110-8-2-5</v>
      </c>
      <c r="B149" s="19" t="n">
        <f aca="false">IFERROR(__xludf.dummyfunction("""COMPUTED_VALUE"""),44949)</f>
        <v>44949</v>
      </c>
      <c r="C149" s="0" t="n">
        <f aca="false">IFERROR(__xludf.dummyfunction("""COMPUTED_VALUE"""),5)</f>
        <v>5</v>
      </c>
      <c r="D149" s="0" t="str">
        <f aca="false">IFERROR(__xludf.dummyfunction("""COMPUTED_VALUE"""),"AICI202110-8-2| Socialización periódica y puntual de los compromisos a los responsables derivados de los comités (15/09/2021 - 30/04/2022)")</f>
        <v>AICI202110-8-2| Socialización periódica y puntual de los compromisos a los responsables derivados de los comités (15/09/2021 - 30/04/2022)</v>
      </c>
      <c r="E149"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49" s="0" t="str">
        <f aca="false">IFERROR(__xludf.dummyfunction("""COMPUTED_VALUE"""),"En desarrollo")</f>
        <v>En desarrollo</v>
      </c>
    </row>
    <row r="150" customFormat="false" ht="14.25" hidden="false" customHeight="false" outlineLevel="0" collapsed="false">
      <c r="A150" s="18" t="str">
        <f aca="false">IFERROR(MID(D150,1,FIND("|",D150)-1)&amp;"-"&amp;C150,"")</f>
        <v>AICI202110-8-3-5</v>
      </c>
      <c r="B150" s="19" t="n">
        <f aca="false">IFERROR(__xludf.dummyfunction("""COMPUTED_VALUE"""),44949)</f>
        <v>44949</v>
      </c>
      <c r="C150" s="0" t="n">
        <f aca="false">IFERROR(__xludf.dummyfunction("""COMPUTED_VALUE"""),5)</f>
        <v>5</v>
      </c>
      <c r="D150" s="0" t="str">
        <f aca="false">IFERROR(__xludf.dummyfunction("""COMPUTED_VALUE"""),"AICI202110-8-3| Seguimiento y registro del avance porcentual de cumplimiento de cada compromiso en la matriz… (15/09/2021 - 30/04/2022)")</f>
        <v>AICI202110-8-3| Seguimiento y registro del avance porcentual de cumplimiento de cada compromiso en la matriz… (15/09/2021 - 30/04/2022)</v>
      </c>
      <c r="E150"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50" s="0" t="str">
        <f aca="false">IFERROR(__xludf.dummyfunction("""COMPUTED_VALUE"""),"En desarrollo")</f>
        <v>En desarrollo</v>
      </c>
    </row>
    <row r="151" customFormat="false" ht="14.25" hidden="false" customHeight="false" outlineLevel="0" collapsed="false">
      <c r="A151" s="18" t="str">
        <f aca="false">IFERROR(MID(D151,1,FIND("|",D151)-1)&amp;"-"&amp;C151,"")</f>
        <v>AICI202110-8-4-5</v>
      </c>
      <c r="B151" s="19" t="n">
        <f aca="false">IFERROR(__xludf.dummyfunction("""COMPUTED_VALUE"""),44949)</f>
        <v>44949</v>
      </c>
      <c r="C151" s="0" t="n">
        <f aca="false">IFERROR(__xludf.dummyfunction("""COMPUTED_VALUE"""),5)</f>
        <v>5</v>
      </c>
      <c r="D151" s="0" t="str">
        <f aca="false">IFERROR(__xludf.dummyfunction("""COMPUTED_VALUE"""),"AICI202110-8-4| Realizar verificación de la calidad de las actas a través del seguimiento realizado por la Oficina de Calidad (15/09/2021 - 30/04/2022)")</f>
        <v>AICI202110-8-4| Realizar verificación de la calidad de las actas a través del seguimiento realizado por la Oficina de Calidad (15/09/2021 - 30/04/2022)</v>
      </c>
      <c r="E151"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51" s="0" t="str">
        <f aca="false">IFERROR(__xludf.dummyfunction("""COMPUTED_VALUE"""),"En desarrollo")</f>
        <v>En desarrollo</v>
      </c>
    </row>
    <row r="152" customFormat="false" ht="14.25" hidden="false" customHeight="false" outlineLevel="0" collapsed="false">
      <c r="A152" s="18" t="str">
        <f aca="false">IFERROR(MID(D152,1,FIND("|",D152)-1)&amp;"-"&amp;C152,"")</f>
        <v>AICI202110-8-5-5</v>
      </c>
      <c r="B152" s="19" t="n">
        <f aca="false">IFERROR(__xludf.dummyfunction("""COMPUTED_VALUE"""),44949)</f>
        <v>44949</v>
      </c>
      <c r="C152" s="0" t="n">
        <f aca="false">IFERROR(__xludf.dummyfunction("""COMPUTED_VALUE"""),5)</f>
        <v>5</v>
      </c>
      <c r="D152" s="0" t="str">
        <f aca="false">IFERROR(__xludf.dummyfunction("""COMPUTED_VALUE"""),"AICI202110-8-5| Presentar informe de los hallazgos a cada comité (01/05/2022 - 31/05/2022)")</f>
        <v>AICI202110-8-5| Presentar informe de los hallazgos a cada comité (01/05/2022 - 31/05/2022)</v>
      </c>
      <c r="E152"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52" s="0" t="str">
        <f aca="false">IFERROR(__xludf.dummyfunction("""COMPUTED_VALUE"""),"En desarrollo")</f>
        <v>En desarrollo</v>
      </c>
    </row>
    <row r="153" customFormat="false" ht="14.25" hidden="false" customHeight="false" outlineLevel="0" collapsed="false">
      <c r="A153" s="18" t="str">
        <f aca="false">IFERROR(MID(D153,1,FIND("|",D153)-1)&amp;"-"&amp;C153,"")</f>
        <v>AICI202110-9-1-5</v>
      </c>
      <c r="B153" s="19" t="n">
        <f aca="false">IFERROR(__xludf.dummyfunction("""COMPUTED_VALUE"""),44949)</f>
        <v>44949</v>
      </c>
      <c r="C153" s="0" t="n">
        <f aca="false">IFERROR(__xludf.dummyfunction("""COMPUTED_VALUE"""),5)</f>
        <v>5</v>
      </c>
      <c r="D153" s="0" t="str">
        <f aca="false">IFERROR(__xludf.dummyfunction("""COMPUTED_VALUE"""),"AICI202110-9-1| Socializar el Instructivo para la Gestión de los Comités Institucionales ES-GC-I-16 … (15/09/2021 - 31/12/2021)")</f>
        <v>AICI202110-9-1| Socializar el Instructivo para la Gestión de los Comités Institucionales ES-GC-I-16 … (15/09/2021 - 31/12/2021)</v>
      </c>
      <c r="E153" s="0" t="str">
        <f aca="false">IFERROR(__xludf.dummyfunction("""COMPUTED_VALUE"""),"En noviembre de 2022 de realizaron jornadas de socialización de lineamientos de comités institucionales, con la participación de 20 personas entre ellas directivos, destacanco la presentación del informe ejecutivo anual")</f>
        <v>En noviembre de 2022 de realizaron jornadas de socialización de lineamientos de comités institucionales, con la participación de 20 personas entre ellas directivos, destacanco la presentación del informe ejecutivo anual</v>
      </c>
      <c r="F153" s="0" t="str">
        <f aca="false">IFERROR(__xludf.dummyfunction("""COMPUTED_VALUE"""),"Completo")</f>
        <v>Completo</v>
      </c>
      <c r="G153" s="0" t="str">
        <f aca="false">IFERROR(__xludf.dummyfunction("""COMPUTED_VALUE"""),"Sí")</f>
        <v>Sí</v>
      </c>
    </row>
    <row r="154" customFormat="false" ht="14.25" hidden="false" customHeight="false" outlineLevel="0" collapsed="false">
      <c r="A154" s="18" t="str">
        <f aca="false">IFERROR(MID(D154,1,FIND("|",D154)-1)&amp;"-"&amp;C154,"")</f>
        <v>AICI202110-9-2-5</v>
      </c>
      <c r="B154" s="19" t="n">
        <f aca="false">IFERROR(__xludf.dummyfunction("""COMPUTED_VALUE"""),44949)</f>
        <v>44949</v>
      </c>
      <c r="C154" s="0" t="n">
        <f aca="false">IFERROR(__xludf.dummyfunction("""COMPUTED_VALUE"""),5)</f>
        <v>5</v>
      </c>
      <c r="D154" s="0" t="str">
        <f aca="false">IFERROR(__xludf.dummyfunction("""COMPUTED_VALUE"""),"AICI202110-9-2| elaboración y presentación del informe ejecutivo anual en la primera reunión del año de cada comité (01/02/2022 - 28/02/2022)")</f>
        <v>AICI202110-9-2| elaboración y presentación del informe ejecutivo anual en la primera reunión del año de cada comité (01/02/2022 - 28/02/2022)</v>
      </c>
      <c r="E154"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54" s="0" t="str">
        <f aca="false">IFERROR(__xludf.dummyfunction("""COMPUTED_VALUE"""),"En desarrollo")</f>
        <v>En desarrollo</v>
      </c>
    </row>
    <row r="155" customFormat="false" ht="14.25" hidden="false" customHeight="false" outlineLevel="0" collapsed="false">
      <c r="A155" s="18" t="str">
        <f aca="false">IFERROR(MID(D155,1,FIND("|",D155)-1)&amp;"-"&amp;C155,"")</f>
        <v>AICI202110-9-3-5</v>
      </c>
      <c r="B155" s="19" t="n">
        <f aca="false">IFERROR(__xludf.dummyfunction("""COMPUTED_VALUE"""),44949)</f>
        <v>44949</v>
      </c>
      <c r="C155" s="0" t="n">
        <f aca="false">IFERROR(__xludf.dummyfunction("""COMPUTED_VALUE"""),5)</f>
        <v>5</v>
      </c>
      <c r="D155" s="0" t="str">
        <f aca="false">IFERROR(__xludf.dummyfunction("""COMPUTED_VALUE"""),"AICI202110-9-3| Remisión del informe a gestión de calidad para consolidación, análisis y recomendaciones … (01/02/2022 - 28/02/2022)")</f>
        <v>AICI202110-9-3| Remisión del informe a gestión de calidad para consolidación, análisis y recomendaciones … (01/02/2022 - 28/02/2022)</v>
      </c>
      <c r="E155"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55" s="0" t="str">
        <f aca="false">IFERROR(__xludf.dummyfunction("""COMPUTED_VALUE"""),"En desarrollo")</f>
        <v>En desarrollo</v>
      </c>
    </row>
    <row r="156" customFormat="false" ht="14.25" hidden="false" customHeight="false" outlineLevel="0" collapsed="false">
      <c r="A156" s="18" t="str">
        <f aca="false">IFERROR(MID(D156,1,FIND("|",D156)-1)&amp;"-"&amp;C156,"")</f>
        <v>AICI202110-9-4-5</v>
      </c>
      <c r="B156" s="19" t="n">
        <f aca="false">IFERROR(__xludf.dummyfunction("""COMPUTED_VALUE"""),44949)</f>
        <v>44949</v>
      </c>
      <c r="C156" s="0" t="n">
        <f aca="false">IFERROR(__xludf.dummyfunction("""COMPUTED_VALUE"""),5)</f>
        <v>5</v>
      </c>
      <c r="D156" s="0" t="str">
        <f aca="false">IFERROR(__xludf.dummyfunction("""COMPUTED_VALUE"""),"AICI202110-9-4| Elaboración y presentación de informe consolidado que incluya análisis y recomendaciones ... (01/02/2022 - 28/02/2022)")</f>
        <v>AICI202110-9-4| Elaboración y presentación de informe consolidado que incluya análisis y recomendaciones ... (01/02/2022 - 28/02/2022)</v>
      </c>
      <c r="E156"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56" s="0" t="str">
        <f aca="false">IFERROR(__xludf.dummyfunction("""COMPUTED_VALUE"""),"En desarrollo")</f>
        <v>En desarrollo</v>
      </c>
    </row>
    <row r="157" customFormat="false" ht="14.25" hidden="false" customHeight="false" outlineLevel="0" collapsed="false">
      <c r="A157" s="18" t="str">
        <f aca="false">IFERROR(MID(D157,1,FIND("|",D157)-1)&amp;"-"&amp;C157,"")</f>
        <v>AICI202110-10-2-5</v>
      </c>
      <c r="B157" s="19" t="n">
        <f aca="false">IFERROR(__xludf.dummyfunction("""COMPUTED_VALUE"""),44949)</f>
        <v>44949</v>
      </c>
      <c r="C157" s="0" t="n">
        <f aca="false">IFERROR(__xludf.dummyfunction("""COMPUTED_VALUE"""),5)</f>
        <v>5</v>
      </c>
      <c r="D157" s="0" t="str">
        <f aca="false">IFERROR(__xludf.dummyfunction("""COMPUTED_VALUE"""),"AICI202110-10-2| Socializar el Instructivo para la Gestión de los Comités Institucionales ES-GC-I-16 … (15/09/2021 - 31/12/2021)")</f>
        <v>AICI202110-10-2| Socializar el Instructivo para la Gestión de los Comités Institucionales ES-GC-I-16 … (15/09/2021 - 31/12/2021)</v>
      </c>
      <c r="E157" s="0" t="str">
        <f aca="false">IFERROR(__xludf.dummyfunction("""COMPUTED_VALUE"""),"En noviembre de 2022 de realizaron jornadas de socialización de lineamientos de comités institucionales, con la participación de 20 personas entre ellas directivos, destacanco la presentación del informe ejecutivo anua")</f>
        <v>En noviembre de 2022 de realizaron jornadas de socialización de lineamientos de comités institucionales, con la participación de 20 personas entre ellas directivos, destacanco la presentación del informe ejecutivo anua</v>
      </c>
      <c r="F157" s="0" t="str">
        <f aca="false">IFERROR(__xludf.dummyfunction("""COMPUTED_VALUE"""),"Completo")</f>
        <v>Completo</v>
      </c>
      <c r="G157" s="0" t="str">
        <f aca="false">IFERROR(__xludf.dummyfunction("""COMPUTED_VALUE"""),"Sí")</f>
        <v>Sí</v>
      </c>
    </row>
    <row r="158" customFormat="false" ht="14.25" hidden="false" customHeight="false" outlineLevel="0" collapsed="false">
      <c r="A158" s="18" t="str">
        <f aca="false">IFERROR(MID(D158,1,FIND("|",D158)-1)&amp;"-"&amp;C158,"")</f>
        <v>AICI202110-10-3-5</v>
      </c>
      <c r="B158" s="19" t="n">
        <f aca="false">IFERROR(__xludf.dummyfunction("""COMPUTED_VALUE"""),44949)</f>
        <v>44949</v>
      </c>
      <c r="C158" s="0" t="n">
        <f aca="false">IFERROR(__xludf.dummyfunction("""COMPUTED_VALUE"""),5)</f>
        <v>5</v>
      </c>
      <c r="D158" s="0" t="str">
        <f aca="false">IFERROR(__xludf.dummyfunction("""COMPUTED_VALUE"""),"AICI202110-10-3| Realizar verificación del manejo y custodia del archivo de los comités a través de la … (01/01/2022 - 30/04/2022)")</f>
        <v>AICI202110-10-3| Realizar verificación del manejo y custodia del archivo de los comités a través de la … (01/01/2022 - 30/04/2022)</v>
      </c>
      <c r="E158"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58" s="0" t="str">
        <f aca="false">IFERROR(__xludf.dummyfunction("""COMPUTED_VALUE"""),"En desarrollo")</f>
        <v>En desarrollo</v>
      </c>
    </row>
    <row r="159" customFormat="false" ht="14.25" hidden="false" customHeight="false" outlineLevel="0" collapsed="false">
      <c r="A159" s="18" t="str">
        <f aca="false">IFERROR(MID(D159,1,FIND("|",D159)-1)&amp;"-"&amp;C159,"")</f>
        <v>AICI202110-10-4-5</v>
      </c>
      <c r="B159" s="19" t="n">
        <f aca="false">IFERROR(__xludf.dummyfunction("""COMPUTED_VALUE"""),44949)</f>
        <v>44949</v>
      </c>
      <c r="C159" s="0" t="n">
        <f aca="false">IFERROR(__xludf.dummyfunction("""COMPUTED_VALUE"""),5)</f>
        <v>5</v>
      </c>
      <c r="D159" s="0" t="str">
        <f aca="false">IFERROR(__xludf.dummyfunction("""COMPUTED_VALUE"""),"AICI202110-10-4| Presentar informe de los hallazgos a cada comité (01/05/2022 - 31/05/2022)")</f>
        <v>AICI202110-10-4| Presentar informe de los hallazgos a cada comité (01/05/2022 - 31/05/2022)</v>
      </c>
      <c r="E159" s="0" t="str">
        <f aca="false">IFERROR(__xludf.dummyfunction("""COMPUTED_VALUE"""),"Como parte del proceso de depuración de los planes de mejoramiento y de acuerdo con el memorando 20221800037303 relacionado con la auditoría de segundo orden a la operativización de los comités, se modifica la fecha de finalización de la actividad, quedan"&amp;"do en  en estado en desarrollo")</f>
        <v>Como parte del proceso de depuración de los planes de mejoramiento y de acuerdo con el memorando 20221800037303 relacionado con la auditoría de segundo orden a la operativización de los comités, se modifica la fecha de finalización de la actividad, quedando en  en estado en desarrollo</v>
      </c>
      <c r="F159" s="0" t="str">
        <f aca="false">IFERROR(__xludf.dummyfunction("""COMPUTED_VALUE"""),"En desarrollo")</f>
        <v>En desarrollo</v>
      </c>
    </row>
    <row r="160" customFormat="false" ht="14.25" hidden="false" customHeight="false" outlineLevel="0" collapsed="false">
      <c r="A160" s="18" t="str">
        <f aca="false">IFERROR(MID(D160,1,FIND("|",D160)-1)&amp;"-"&amp;C160,"")</f>
        <v>AICI202110-6-1-6</v>
      </c>
      <c r="B160" s="19" t="n">
        <f aca="false">IFERROR(__xludf.dummyfunction("""COMPUTED_VALUE"""),45034)</f>
        <v>45034</v>
      </c>
      <c r="C160" s="0" t="n">
        <f aca="false">IFERROR(__xludf.dummyfunction("""COMPUTED_VALUE"""),6)</f>
        <v>6</v>
      </c>
      <c r="D160" s="0" t="str">
        <f aca="false">IFERROR(__xludf.dummyfunction("""COMPUTED_VALUE"""),"AICI202110-6-1| Diligenciamiento de las actas de acuerdo a los lineamientos establecidos en el documento … (15/09/2021 - 31/03/2023)")</f>
        <v>AICI202110-6-1| Diligenciamiento de las actas de acuerdo a los lineamientos establecidos en el documento … (15/09/2021 - 31/03/2023)</v>
      </c>
      <c r="E160" s="0" t="str">
        <f aca="false">IFERROR(__xludf.dummyfunction("""COMPUTED_VALUE"""),"Dentro del acta realizada el día 5 de agosto del 2022 liderada por la subgerencia de prestación de servicios se presentan las metas de cada dirección  con el objetivo de establecer los lineamientos a los compromisos para los diferentes comités y direccion"&amp;"es. anexo acta 5 de agosto")</f>
        <v>Dentro del acta realizada el día 5 de agosto del 2022 liderada por la subgerencia de prestación de servicios se presentan las metas de cada dirección  con el objetivo de establecer los lineamientos a los compromisos para los diferentes comités y direcciones. anexo acta 5 de agosto</v>
      </c>
      <c r="F160" s="0" t="str">
        <f aca="false">IFERROR(__xludf.dummyfunction("""COMPUTED_VALUE"""),"Atrasado")</f>
        <v>Atrasado</v>
      </c>
    </row>
    <row r="161" customFormat="false" ht="14.25" hidden="false" customHeight="false" outlineLevel="0" collapsed="false">
      <c r="A161" s="18" t="str">
        <f aca="false">IFERROR(MID(D161,1,FIND("|",D161)-1)&amp;"-"&amp;C161,"")</f>
        <v>AICI202110-6-2-6</v>
      </c>
      <c r="B161" s="19" t="n">
        <f aca="false">IFERROR(__xludf.dummyfunction("""COMPUTED_VALUE"""),45034)</f>
        <v>45034</v>
      </c>
      <c r="C161" s="0" t="n">
        <f aca="false">IFERROR(__xludf.dummyfunction("""COMPUTED_VALUE"""),6)</f>
        <v>6</v>
      </c>
      <c r="D161" s="0" t="str">
        <f aca="false">IFERROR(__xludf.dummyfunction("""COMPUTED_VALUE"""),"AICI202110-6-2| Actualizar y socializar Herramienta de seguimiento a la Gestión de los Comités ES-GC-F-45. (15/09/2021 - 31/03/2023)")</f>
        <v>AICI202110-6-2| Actualizar y socializar Herramienta de seguimiento a la Gestión de los Comités ES-GC-F-45. (15/09/2021 - 31/03/2023)</v>
      </c>
      <c r="E161" s="0" t="str">
        <f aca="false">IFERROR(__xludf.dummyfunction("""COMPUTED_VALUE"""),"Dentro del acta realizada el día 24 de febrero del año 2023, se recuerda en el punto (11. varios) a los miembros del comité el funcionamiento efectivo de la HERRAMIENTA DE SEGUIMIENTO DE LA GESTIÓN DE COMITÉS ES-GC-F-45-02, se anexan actas de asistencia, "&amp;"comité transfusional.
No se evidencian soportes de los demás comités")</f>
        <v>Dentro del acta realizada el día 24 de febrero del año 2023, se recuerda en el punto (11. varios) a los miembros del comité el funcionamiento efectivo de la HERRAMIENTA DE SEGUIMIENTO DE LA GESTIÓN DE COMITÉS ES-GC-F-45-02, se anexan actas de asistencia, comité transfusional.
No se evidencian soportes de los demás comités</v>
      </c>
      <c r="F161" s="0" t="str">
        <f aca="false">IFERROR(__xludf.dummyfunction("""COMPUTED_VALUE"""),"Atrasado")</f>
        <v>Atrasado</v>
      </c>
    </row>
    <row r="162" customFormat="false" ht="14.25" hidden="false" customHeight="false" outlineLevel="0" collapsed="false">
      <c r="A162" s="18" t="str">
        <f aca="false">IFERROR(MID(D162,1,FIND("|",D162)-1)&amp;"-"&amp;C162,"")</f>
        <v>AICI202110-6-3-6</v>
      </c>
      <c r="B162" s="19" t="n">
        <f aca="false">IFERROR(__xludf.dummyfunction("""COMPUTED_VALUE"""),45034)</f>
        <v>45034</v>
      </c>
      <c r="C162" s="0" t="n">
        <f aca="false">IFERROR(__xludf.dummyfunction("""COMPUTED_VALUE"""),6)</f>
        <v>6</v>
      </c>
      <c r="D162" s="0" t="str">
        <f aca="false">IFERROR(__xludf.dummyfunction("""COMPUTED_VALUE"""),"AICI202110-6-3| Realizar verificación de la calidad de las actas a través del seguimiento realizado por la Oficina de calidad (01/01/2022 - 31/03/2023)")</f>
        <v>AICI202110-6-3| Realizar verificación de la calidad de las actas a través del seguimiento realizado por la Oficina de calidad (01/01/2022 - 31/03/2023)</v>
      </c>
      <c r="E162" s="0" t="str">
        <f aca="false">IFERROR(__xludf.dummyfunction("""COMPUTED_VALUE"""),"En los anteriores seguimientos se recibieron actas de comités de FARMACIA Y TERAPEUTICA, VIGILANCIA EPIDEMIOLOGICA  Y ESTADISTICAS VITALES, TRASFUSI""&amp;""ON SANGUINEA, CONTROL Y PREVENCION DE INFECCIONES ASOCIADAS A LA ATENCION EN SALUD, GESTION CLINICA EX"&amp;"CELENTE Y SEGURA, HISTORIAS CLINICAS, MATERNO INFANTIL,  MATERNO PERINATAL, VIOLENCIA SEXUAL, DONACION DE ORGANOS, para el periodo comprendido de enero a marzo no se recibieron los demás soportes para realizar la verificación en el resto de los comités au"&amp;"ditados. ")</f>
        <v>En los anteriores seguimientos se recibieron actas de comités de FARMACIA Y TERAPEUTICA, VIGILANCIA EPIDEMIOLOGICA  Y ESTADISTICAS VITALES, TRASFUSI"&amp;"ON SANGUINEA, CONTROL Y PREVENCION DE INFECCIONES ASOCIADAS A LA ATENCION EN SALUD, GESTION CLINICA EXCELENTE Y SEGURA, HISTORIAS CLINICAS, MATERNO INFANTIL,  MATERNO PERINATAL, VIOLENCIA SEXUAL, DONACION DE ORGANOS, para el periodo comprendido de enero a marzo no se recibieron los demás soportes para realizar la verificación en el resto de los comités auditados. </v>
      </c>
      <c r="F162" s="0" t="str">
        <f aca="false">IFERROR(__xludf.dummyfunction("""COMPUTED_VALUE"""),"Atrasado")</f>
        <v>Atrasado</v>
      </c>
    </row>
    <row r="163" customFormat="false" ht="14.25" hidden="false" customHeight="false" outlineLevel="0" collapsed="false">
      <c r="A163" s="18" t="str">
        <f aca="false">IFERROR(MID(D163,1,FIND("|",D163)-1)&amp;"-"&amp;C163,"")</f>
        <v>AICI202110-6-4-6</v>
      </c>
      <c r="B163" s="19" t="n">
        <f aca="false">IFERROR(__xludf.dummyfunction("""COMPUTED_VALUE"""),45034)</f>
        <v>45034</v>
      </c>
      <c r="C163" s="0" t="n">
        <f aca="false">IFERROR(__xludf.dummyfunction("""COMPUTED_VALUE"""),6)</f>
        <v>6</v>
      </c>
      <c r="D163" s="0" t="str">
        <f aca="false">IFERROR(__xludf.dummyfunction("""COMPUTED_VALUE"""),"AICI202110-6-4| Presentar informe de los hallazgos a cada comité (01/05/2022 - 31/03/2023)")</f>
        <v>AICI202110-6-4| Presentar informe de los hallazgos a cada comité (01/05/2022 - 31/03/2023)</v>
      </c>
      <c r="E163" s="0" t="str">
        <f aca="false">IFERROR(__xludf.dummyfunction("""COMPUTED_VALUE"""),"Dentro del acta realizada el día 5 de agosto del 2022 liderada por la subgerencia de prestación de servicios se presentan los hallazgos que generó el informe de la oficina de control interno. anexo acta 5 de agosto, pero no se evidencian actas de asistenc"&amp;"ia de la participación de todos los presidentes, delegados de presidentes y/o secretarios de comités institucionales.")</f>
        <v>Dentro del acta realizada el día 5 de agosto del 2022 liderada por la subgerencia de prestación de servicios se presentan los hallazgos que generó el informe de la oficina de control interno. anexo acta 5 de agosto, pero no se evidencian actas de asistencia de la participación de todos los presidentes, delegados de presidentes y/o secretarios de comités institucionales.</v>
      </c>
      <c r="F163" s="0" t="str">
        <f aca="false">IFERROR(__xludf.dummyfunction("""COMPUTED_VALUE"""),"Atrasado")</f>
        <v>Atrasado</v>
      </c>
    </row>
    <row r="164" customFormat="false" ht="14.25" hidden="false" customHeight="false" outlineLevel="0" collapsed="false">
      <c r="A164" s="18" t="str">
        <f aca="false">IFERROR(MID(D164,1,FIND("|",D164)-1)&amp;"-"&amp;C164,"")</f>
        <v>AICI202110-7-1-6</v>
      </c>
      <c r="B164" s="19" t="n">
        <f aca="false">IFERROR(__xludf.dummyfunction("""COMPUTED_VALUE"""),45034)</f>
        <v>45034</v>
      </c>
      <c r="C164" s="0" t="n">
        <f aca="false">IFERROR(__xludf.dummyfunction("""COMPUTED_VALUE"""),6)</f>
        <v>6</v>
      </c>
      <c r="D164" s="0" t="str">
        <f aca="false">IFERROR(__xludf.dummyfunction("""COMPUTED_VALUE"""),"AICI202110-7-1| Socializar los Lineamientos generales para el seguimiento a compromisos derivados de auditorías … (15/09/2021 - 31/03/2023)")</f>
        <v>AICI202110-7-1| Socializar los Lineamientos generales para el seguimiento a compromisos derivados de auditorías … (15/09/2021 - 31/03/2023)</v>
      </c>
      <c r="E164" s="0" t="str">
        <f aca="false">IFERROR(__xludf.dummyfunction("""COMPUTED_VALUE"""),"Se evidencian actas de reunión con los análisis realizados y las decisiones tomadas frente a cada uno de los temas tratados durante la sesión, como también los lineamientos que se deben tener en el diligenciamiento de los documentos para el seguimiento de"&amp;" los compromisos derivados de auditorías, comité, unidades de análisis y protocolo de Londres, esto realizado por el comité transfusional, los demás comités no envían soportes para su respectiva evaluación")</f>
        <v>Se evidencian actas de reunión con los análisis realizados y las decisiones tomadas frente a cada uno de los temas tratados durante la sesión, como también los lineamientos que se deben tener en el diligenciamiento de los documentos para el seguimiento de los compromisos derivados de auditorías, comité, unidades de análisis y protocolo de Londres, esto realizado por el comité transfusional, los demás comités no envían soportes para su respectiva evaluación</v>
      </c>
      <c r="F164" s="0" t="str">
        <f aca="false">IFERROR(__xludf.dummyfunction("""COMPUTED_VALUE"""),"Atrasado")</f>
        <v>Atrasado</v>
      </c>
    </row>
    <row r="165" customFormat="false" ht="14.25" hidden="false" customHeight="false" outlineLevel="0" collapsed="false">
      <c r="A165" s="18" t="str">
        <f aca="false">IFERROR(MID(D165,1,FIND("|",D165)-1)&amp;"-"&amp;C165,"")</f>
        <v>AICI202110-7-3-6</v>
      </c>
      <c r="B165" s="19" t="n">
        <f aca="false">IFERROR(__xludf.dummyfunction("""COMPUTED_VALUE"""),45034)</f>
        <v>45034</v>
      </c>
      <c r="C165" s="0" t="n">
        <f aca="false">IFERROR(__xludf.dummyfunction("""COMPUTED_VALUE"""),6)</f>
        <v>6</v>
      </c>
      <c r="D165" s="0" t="str">
        <f aca="false">IFERROR(__xludf.dummyfunction("""COMPUTED_VALUE"""),"AICI202110-7-3| Realizar verificación de la calidad de los planes de mejora y planes de acción a través del … (01/01/2022 - 31/03/2023)")</f>
        <v>AICI202110-7-3| Realizar verificación de la calidad de los planes de mejora y planes de acción a través del … (01/01/2022 - 31/03/2023)</v>
      </c>
      <c r="E165" s="0" t="str">
        <f aca="false">IFERROR(__xludf.dummyfunction("""COMPUTED_VALUE"""),"En los soportes enviados se evidencia plan de acción anual del comité de transfusional, de los demás comités no se encuentran soportes.")</f>
        <v>En los soportes enviados se evidencia plan de acción anual del comité de transfusional, de los demás comités no se encuentran soportes.</v>
      </c>
      <c r="F165" s="0" t="str">
        <f aca="false">IFERROR(__xludf.dummyfunction("""COMPUTED_VALUE"""),"Atrasado")</f>
        <v>Atrasado</v>
      </c>
    </row>
    <row r="166" customFormat="false" ht="14.25" hidden="false" customHeight="false" outlineLevel="0" collapsed="false">
      <c r="A166" s="18" t="str">
        <f aca="false">IFERROR(MID(D166,1,FIND("|",D166)-1)&amp;"-"&amp;C166,"")</f>
        <v>AICI202110-7-4-6</v>
      </c>
      <c r="B166" s="19" t="n">
        <f aca="false">IFERROR(__xludf.dummyfunction("""COMPUTED_VALUE"""),45034)</f>
        <v>45034</v>
      </c>
      <c r="C166" s="0" t="n">
        <f aca="false">IFERROR(__xludf.dummyfunction("""COMPUTED_VALUE"""),6)</f>
        <v>6</v>
      </c>
      <c r="D166" s="0" t="str">
        <f aca="false">IFERROR(__xludf.dummyfunction("""COMPUTED_VALUE"""),"AICI202110-7-4| Presentar informe de los hallazgos a cada comité (01/05/2022 - 31/03/2023)")</f>
        <v>AICI202110-7-4| Presentar informe de los hallazgos a cada comité (01/05/2022 - 31/03/2023)</v>
      </c>
      <c r="E166" s="0" t="str">
        <f aca="false">IFERROR(__xludf.dummyfunction("""COMPUTED_VALUE"""),"Dentro del acta realizada el día 5 de agosto del 2022 liderada por la subgerencia de prestación de servicios se presentan los hallazgos que generó el informe de la oficina de control interno. anexo acta 5 de agosto 2022, pero no se evidencian actas de asi"&amp;"stencia de la participación de todos los presidentes, delegados de presidentes y/o secretarios de comités institucionales.")</f>
        <v>Dentro del acta realizada el día 5 de agosto del 2022 liderada por la subgerencia de prestación de servicios se presentan los hallazgos que generó el informe de la oficina de control interno. anexo acta 5 de agosto 2022, pero no se evidencian actas de asistencia de la participación de todos los presidentes, delegados de presidentes y/o secretarios de comités institucionales.</v>
      </c>
      <c r="F166" s="0" t="str">
        <f aca="false">IFERROR(__xludf.dummyfunction("""COMPUTED_VALUE"""),"Atrasado")</f>
        <v>Atrasado</v>
      </c>
    </row>
    <row r="167" customFormat="false" ht="14.25" hidden="false" customHeight="false" outlineLevel="0" collapsed="false">
      <c r="A167" s="18" t="str">
        <f aca="false">IFERROR(MID(D167,1,FIND("|",D167)-1)&amp;"-"&amp;C167,"")</f>
        <v>AICI202110-8-1-6</v>
      </c>
      <c r="B167" s="19" t="n">
        <f aca="false">IFERROR(__xludf.dummyfunction("""COMPUTED_VALUE"""),45034)</f>
        <v>45034</v>
      </c>
      <c r="C167" s="0" t="n">
        <f aca="false">IFERROR(__xludf.dummyfunction("""COMPUTED_VALUE"""),6)</f>
        <v>6</v>
      </c>
      <c r="D167" s="0" t="str">
        <f aca="false">IFERROR(__xludf.dummyfunction("""COMPUTED_VALUE"""),"AICI202110-8-1| Realizar registro periódico y oportuno de la matriz de compromisos derivados de los comités … (15/09/2021 - 31/03/2023)")</f>
        <v>AICI202110-8-1| Realizar registro periódico y oportuno de la matriz de compromisos derivados de los comités … (15/09/2021 - 31/03/2023)</v>
      </c>
      <c r="E167" s="0" t="str">
        <f aca="false">IFERROR(__xludf.dummyfunction("""COMPUTED_VALUE"""),"No se presentan soportes de avances de esta acción.")</f>
        <v>No se presentan soportes de avances de esta acción.</v>
      </c>
      <c r="F167" s="0" t="str">
        <f aca="false">IFERROR(__xludf.dummyfunction("""COMPUTED_VALUE"""),"Atrasado")</f>
        <v>Atrasado</v>
      </c>
    </row>
    <row r="168" customFormat="false" ht="14.25" hidden="false" customHeight="false" outlineLevel="0" collapsed="false">
      <c r="A168" s="18" t="str">
        <f aca="false">IFERROR(MID(D168,1,FIND("|",D168)-1)&amp;"-"&amp;C168,"")</f>
        <v>AICI202110-8-2-6</v>
      </c>
      <c r="B168" s="19" t="n">
        <f aca="false">IFERROR(__xludf.dummyfunction("""COMPUTED_VALUE"""),45034)</f>
        <v>45034</v>
      </c>
      <c r="C168" s="0" t="n">
        <f aca="false">IFERROR(__xludf.dummyfunction("""COMPUTED_VALUE"""),6)</f>
        <v>6</v>
      </c>
      <c r="D168" s="0" t="str">
        <f aca="false">IFERROR(__xludf.dummyfunction("""COMPUTED_VALUE"""),"AICI202110-8-2| Socialización periódica y puntual de los compromisos a los responsables derivados de los comités (15/09/2021 - 31/03/2023)")</f>
        <v>AICI202110-8-2| Socialización periódica y puntual de los compromisos a los responsables derivados de los comités (15/09/2021 - 31/03/2023)</v>
      </c>
      <c r="E168" s="0" t="str">
        <f aca="false">IFERROR(__xludf.dummyfunction("""COMPUTED_VALUE"""),"La Oficina de Control Interno verificó que la acción cumplida fue efectiva y que elimina la causa del hallazgo toda vez que en la evaluación de una muestra para nueve comités hay continuidad en el seguimiento de compromisos.")</f>
        <v>La Oficina de Control Interno verificó que la acción cumplida fue efectiva y que elimina la causa del hallazgo toda vez que en la evaluación de una muestra para nueve comités hay continuidad en el seguimiento de compromisos.</v>
      </c>
      <c r="F168" s="0" t="str">
        <f aca="false">IFERROR(__xludf.dummyfunction("""COMPUTED_VALUE"""),"Completo")</f>
        <v>Completo</v>
      </c>
      <c r="G168" s="0" t="str">
        <f aca="false">IFERROR(__xludf.dummyfunction("""COMPUTED_VALUE"""),"Sí")</f>
        <v>Sí</v>
      </c>
    </row>
    <row r="169" customFormat="false" ht="14.25" hidden="false" customHeight="false" outlineLevel="0" collapsed="false">
      <c r="A169" s="18" t="str">
        <f aca="false">IFERROR(MID(D169,1,FIND("|",D169)-1)&amp;"-"&amp;C169,"")</f>
        <v>AICI202110-8-3-6</v>
      </c>
      <c r="B169" s="19" t="n">
        <f aca="false">IFERROR(__xludf.dummyfunction("""COMPUTED_VALUE"""),45034)</f>
        <v>45034</v>
      </c>
      <c r="C169" s="0" t="n">
        <f aca="false">IFERROR(__xludf.dummyfunction("""COMPUTED_VALUE"""),6)</f>
        <v>6</v>
      </c>
      <c r="D169" s="0" t="str">
        <f aca="false">IFERROR(__xludf.dummyfunction("""COMPUTED_VALUE"""),"AICI202110-8-3| Seguimiento y registro del avance porcentual de cumplimiento de cada compromiso en la matriz… (15/09/2021 - 31/03/2023)")</f>
        <v>AICI202110-8-3| Seguimiento y registro del avance porcentual de cumplimiento de cada compromiso en la matriz… (15/09/2021 - 31/03/2023)</v>
      </c>
      <c r="E169" s="0" t="str">
        <f aca="false">IFERROR(__xludf.dummyfunction("""COMPUTED_VALUE"""),"No se presentan soportes de avances de esta acción")</f>
        <v>No se presentan soportes de avances de esta acción</v>
      </c>
      <c r="F169" s="0" t="str">
        <f aca="false">IFERROR(__xludf.dummyfunction("""COMPUTED_VALUE"""),"Atrasado")</f>
        <v>Atrasado</v>
      </c>
    </row>
    <row r="170" customFormat="false" ht="14.25" hidden="false" customHeight="false" outlineLevel="0" collapsed="false">
      <c r="A170" s="18" t="str">
        <f aca="false">IFERROR(MID(D170,1,FIND("|",D170)-1)&amp;"-"&amp;C170,"")</f>
        <v>AICI202110-8-4-6</v>
      </c>
      <c r="B170" s="19" t="n">
        <f aca="false">IFERROR(__xludf.dummyfunction("""COMPUTED_VALUE"""),45034)</f>
        <v>45034</v>
      </c>
      <c r="C170" s="0" t="n">
        <f aca="false">IFERROR(__xludf.dummyfunction("""COMPUTED_VALUE"""),6)</f>
        <v>6</v>
      </c>
      <c r="D170" s="0" t="str">
        <f aca="false">IFERROR(__xludf.dummyfunction("""COMPUTED_VALUE"""),"AICI202110-8-4| Realizar verificación de la calidad de las actas a través del seguimiento realizado por la Oficina de Calidad (15/09/2021 - 31/03/2023)")</f>
        <v>AICI202110-8-4| Realizar verificación de la calidad de las actas a través del seguimiento realizado por la Oficina de Calidad (15/09/2021 - 31/03/2023)</v>
      </c>
      <c r="E170" s="0" t="str">
        <f aca="false">IFERROR(__xludf.dummyfunction("""COMPUTED_VALUE"""),"No se evidencian seguimientos realizados por parte de la oficina de calidad, a la verificación de las actas para cada comité")</f>
        <v>No se evidencian seguimientos realizados por parte de la oficina de calidad, a la verificación de las actas para cada comité</v>
      </c>
      <c r="F170" s="0" t="str">
        <f aca="false">IFERROR(__xludf.dummyfunction("""COMPUTED_VALUE"""),"Atrasado")</f>
        <v>Atrasado</v>
      </c>
    </row>
    <row r="171" customFormat="false" ht="14.25" hidden="false" customHeight="false" outlineLevel="0" collapsed="false">
      <c r="A171" s="18" t="str">
        <f aca="false">IFERROR(MID(D171,1,FIND("|",D171)-1)&amp;"-"&amp;C171,"")</f>
        <v>AICI202110-8-5-6</v>
      </c>
      <c r="B171" s="19" t="n">
        <f aca="false">IFERROR(__xludf.dummyfunction("""COMPUTED_VALUE"""),45034)</f>
        <v>45034</v>
      </c>
      <c r="C171" s="0" t="n">
        <f aca="false">IFERROR(__xludf.dummyfunction("""COMPUTED_VALUE"""),6)</f>
        <v>6</v>
      </c>
      <c r="D171" s="0" t="str">
        <f aca="false">IFERROR(__xludf.dummyfunction("""COMPUTED_VALUE"""),"AICI202110-8-5| Presentar informe de los hallazgos a cada comité (01/05/2022 - 31/03/2023)")</f>
        <v>AICI202110-8-5| Presentar informe de los hallazgos a cada comité (01/05/2022 - 31/03/2023)</v>
      </c>
      <c r="E171" s="0" t="str">
        <f aca="false">IFERROR(__xludf.dummyfunction("""COMPUTED_VALUE"""),"Dentro del acta realizada el día 5 de agosto del 2022 liderada por la subgerencia de prestación de servicios se presentó la Socialización periódica de los compromisos a los responsables derivados de los comité, anexo acta 5 de agosto 2022, pero no se evid"&amp;"encian actas de asistencia de la participación de todos los presidentes, delegados de presidentes y/o secretarios de comités institucionales.")</f>
        <v>Dentro del acta realizada el día 5 de agosto del 2022 liderada por la subgerencia de prestación de servicios se presentó la Socialización periódica de los compromisos a los responsables derivados de los comité, anexo acta 5 de agosto 2022, pero no se evidencian actas de asistencia de la participación de todos los presidentes, delegados de presidentes y/o secretarios de comités institucionales.</v>
      </c>
      <c r="F171" s="0" t="str">
        <f aca="false">IFERROR(__xludf.dummyfunction("""COMPUTED_VALUE"""),"Atrasado")</f>
        <v>Atrasado</v>
      </c>
    </row>
    <row r="172" customFormat="false" ht="14.25" hidden="false" customHeight="false" outlineLevel="0" collapsed="false">
      <c r="A172" s="18" t="str">
        <f aca="false">IFERROR(MID(D172,1,FIND("|",D172)-1)&amp;"-"&amp;C172,"")</f>
        <v>AICI202110-9-2-6</v>
      </c>
      <c r="B172" s="19" t="n">
        <f aca="false">IFERROR(__xludf.dummyfunction("""COMPUTED_VALUE"""),45034)</f>
        <v>45034</v>
      </c>
      <c r="C172" s="0" t="n">
        <f aca="false">IFERROR(__xludf.dummyfunction("""COMPUTED_VALUE"""),6)</f>
        <v>6</v>
      </c>
      <c r="D172" s="0" t="str">
        <f aca="false">IFERROR(__xludf.dummyfunction("""COMPUTED_VALUE"""),"AICI202110-9-2| elaboración y presentación del informe ejecutivo anual en la primera reunión del año de cada comité (01/02/2022 - 31/03/2023)")</f>
        <v>AICI202110-9-2| elaboración y presentación del informe ejecutivo anual en la primera reunión del año de cada comité (01/02/2022 - 31/03/2023)</v>
      </c>
      <c r="E172" s="0" t="str">
        <f aca="false">IFERROR(__xludf.dummyfunction("""COMPUTED_VALUE"""),"Se evidencia el soporte de informe  de gestión del comité transfusional para este periodo de seguimiento (enero-marzo), en los anteriores seguimientos se evidencian soportes entregados de los comités de control y vigilancia de las IAAS, materno infantil, "&amp;"comité materno perinatal, comité GCES,  no hay soportes de los demás comités.")</f>
        <v>Se evidencia el soporte de informe  de gestión del comité transfusional para este periodo de seguimiento (enero-marzo), en los anteriores seguimientos se evidencian soportes entregados de los comités de control y vigilancia de las IAAS, materno infantil, comité materno perinatal, comité GCES,  no hay soportes de los demás comités.</v>
      </c>
      <c r="F172" s="0" t="str">
        <f aca="false">IFERROR(__xludf.dummyfunction("""COMPUTED_VALUE"""),"Atrasado")</f>
        <v>Atrasado</v>
      </c>
    </row>
    <row r="173" customFormat="false" ht="14.25" hidden="false" customHeight="false" outlineLevel="0" collapsed="false">
      <c r="A173" s="18" t="str">
        <f aca="false">IFERROR(MID(D173,1,FIND("|",D173)-1)&amp;"-"&amp;C173,"")</f>
        <v>AICI202110-9-3-6</v>
      </c>
      <c r="B173" s="19" t="n">
        <f aca="false">IFERROR(__xludf.dummyfunction("""COMPUTED_VALUE"""),45034)</f>
        <v>45034</v>
      </c>
      <c r="C173" s="0" t="n">
        <f aca="false">IFERROR(__xludf.dummyfunction("""COMPUTED_VALUE"""),6)</f>
        <v>6</v>
      </c>
      <c r="D173" s="0" t="str">
        <f aca="false">IFERROR(__xludf.dummyfunction("""COMPUTED_VALUE"""),"AICI202110-9-3| Remisión del informe a gestión de calidad para consolidación, análisis y recomendaciones … (01/02/2022 - 31/03/2023)")</f>
        <v>AICI202110-9-3| Remisión del informe a gestión de calidad para consolidación, análisis y recomendaciones … (01/02/2022 - 31/03/2023)</v>
      </c>
      <c r="E173" s="0" t="str">
        <f aca="false">IFERROR(__xludf.dummyfunction("""COMPUTED_VALUE"""),"No se tiene evidencia de los soportes de remisión de los seguimientos de los comités al área de calidad por parte de cada uno de los comités")</f>
        <v>No se tiene evidencia de los soportes de remisión de los seguimientos de los comités al área de calidad por parte de cada uno de los comités</v>
      </c>
      <c r="F173" s="0" t="str">
        <f aca="false">IFERROR(__xludf.dummyfunction("""COMPUTED_VALUE"""),"Atrasado")</f>
        <v>Atrasado</v>
      </c>
    </row>
    <row r="174" customFormat="false" ht="14.25" hidden="false" customHeight="false" outlineLevel="0" collapsed="false">
      <c r="A174" s="18" t="str">
        <f aca="false">IFERROR(MID(D174,1,FIND("|",D174)-1)&amp;"-"&amp;C174,"")</f>
        <v>AICI202110-9-4-6</v>
      </c>
      <c r="B174" s="19" t="n">
        <f aca="false">IFERROR(__xludf.dummyfunction("""COMPUTED_VALUE"""),45034)</f>
        <v>45034</v>
      </c>
      <c r="C174" s="0" t="n">
        <f aca="false">IFERROR(__xludf.dummyfunction("""COMPUTED_VALUE"""),6)</f>
        <v>6</v>
      </c>
      <c r="D174" s="0" t="str">
        <f aca="false">IFERROR(__xludf.dummyfunction("""COMPUTED_VALUE"""),"AICI202110-9-4| Elaboración y presentación de informe consolidado que incluya análisis y recomendaciones ... (01/02/2022 - 31/03/2023)")</f>
        <v>AICI202110-9-4| Elaboración y presentación de informe consolidado que incluya análisis y recomendaciones ... (01/02/2022 - 31/03/2023)</v>
      </c>
      <c r="E174" s="0" t="str">
        <f aca="false">IFERROR(__xludf.dummyfunction("""COMPUTED_VALUE"""),"se encuentran como soportes la presentación de informe anual de gestión 2022 de los comités de vigilancia, farmacia, transfusional, materno perinatal, materno infantil, epidemiología, historias clinicas, clinica excelente y segura, violencia sexual, donac"&amp;"ión y transplante y comité de emergencias y desastres.
No se evidencia la evaluación de la  totalidad de los comités verificados durante la auditoría.")</f>
        <v>se encuentran como soportes la presentación de informe anual de gestión 2022 de los comités de vigilancia, farmacia, transfusional, materno perinatal, materno infantil, epidemiología, historias clinicas, clinica excelente y segura, violencia sexual, donación y transplante y comité de emergencias y desastres.
No se evidencia la evaluación de la  totalidad de los comités verificados durante la auditoría.</v>
      </c>
      <c r="F174" s="0" t="str">
        <f aca="false">IFERROR(__xludf.dummyfunction("""COMPUTED_VALUE"""),"Atrasado")</f>
        <v>Atrasado</v>
      </c>
    </row>
    <row r="175" customFormat="false" ht="14.25" hidden="false" customHeight="false" outlineLevel="0" collapsed="false">
      <c r="A175" s="18" t="str">
        <f aca="false">IFERROR(MID(D175,1,FIND("|",D175)-1)&amp;"-"&amp;C175,"")</f>
        <v>AICI202110-10-3-6</v>
      </c>
      <c r="B175" s="19" t="n">
        <f aca="false">IFERROR(__xludf.dummyfunction("""COMPUTED_VALUE"""),45034)</f>
        <v>45034</v>
      </c>
      <c r="C175" s="0" t="n">
        <f aca="false">IFERROR(__xludf.dummyfunction("""COMPUTED_VALUE"""),6)</f>
        <v>6</v>
      </c>
      <c r="D175" s="0" t="str">
        <f aca="false">IFERROR(__xludf.dummyfunction("""COMPUTED_VALUE"""),"AICI202110-10-3| Realizar verificación del manejo y custodia del archivo de los comités a través de la … (01/01/2022 - 31/03/2023)")</f>
        <v>AICI202110-10-3| Realizar verificación del manejo y custodia del archivo de los comités a través de la … (01/01/2022 - 31/03/2023)</v>
      </c>
      <c r="E175" s="0" t="str">
        <f aca="false">IFERROR(__xludf.dummyfunction("""COMPUTED_VALUE"""),"No se evidencia ningún soporte que permita sustentar la verificación del manejo y custodia del archivo de  los comités por parte de calidad")</f>
        <v>No se evidencia ningún soporte que permita sustentar la verificación del manejo y custodia del archivo de  los comités por parte de calidad</v>
      </c>
      <c r="F175" s="0" t="str">
        <f aca="false">IFERROR(__xludf.dummyfunction("""COMPUTED_VALUE"""),"Atrasado")</f>
        <v>Atrasado</v>
      </c>
    </row>
    <row r="176" customFormat="false" ht="14.25" hidden="false" customHeight="false" outlineLevel="0" collapsed="false">
      <c r="A176" s="18" t="str">
        <f aca="false">IFERROR(MID(D176,1,FIND("|",D176)-1)&amp;"-"&amp;C176,"")</f>
        <v>AICI202110-10-4-6</v>
      </c>
      <c r="B176" s="19" t="n">
        <f aca="false">IFERROR(__xludf.dummyfunction("""COMPUTED_VALUE"""),45034)</f>
        <v>45034</v>
      </c>
      <c r="C176" s="0" t="n">
        <f aca="false">IFERROR(__xludf.dummyfunction("""COMPUTED_VALUE"""),6)</f>
        <v>6</v>
      </c>
      <c r="D176" s="0" t="str">
        <f aca="false">IFERROR(__xludf.dummyfunction("""COMPUTED_VALUE"""),"AICI202110-10-4| Presentar informe de los hallazgos a cada comité (01/05/2022 - 31/03/2023)")</f>
        <v>AICI202110-10-4| Presentar informe de los hallazgos a cada comité (01/05/2022 - 31/03/2023)</v>
      </c>
      <c r="E176" s="0" t="str">
        <f aca="false">IFERROR(__xludf.dummyfunction("""COMPUTED_VALUE"""),"No se evidencia en los soportes entregados el manejo del formato ES-GC-F-45-03 HERRAMIENTA DE SEGUIMIENTO DE LA  GESTIÓN DE COMITÉS, el comité de transfusional anexa formato AP-GI-F-36-02 el cual hace referencia a hoja control expedientes, no se evidencia"&amp;"n soportes de los demás comités.")</f>
        <v>No se evidencia en los soportes entregados el manejo del formato ES-GC-F-45-03 HERRAMIENTA DE SEGUIMIENTO DE LA  GESTIÓN DE COMITÉS, el comité de transfusional anexa formato AP-GI-F-36-02 el cual hace referencia a hoja control expedientes, no se evidencian soportes de los demás comités.</v>
      </c>
      <c r="F176" s="0" t="str">
        <f aca="false">IFERROR(__xludf.dummyfunction("""COMPUTED_VALUE"""),"Atrasado")</f>
        <v>Atrasado</v>
      </c>
    </row>
    <row r="177" customFormat="false" ht="14.25" hidden="false" customHeight="false" outlineLevel="0" collapsed="false">
      <c r="A177" s="18" t="str">
        <f aca="false">IFERROR(MID(D177,1,FIND("|",D177)-1)&amp;"-"&amp;C177,"")</f>
        <v>AICI202110-6-1-7</v>
      </c>
      <c r="B177" s="19" t="n">
        <f aca="false">IFERROR(__xludf.dummyfunction("""COMPUTED_VALUE"""),45117)</f>
        <v>45117</v>
      </c>
      <c r="C177" s="0" t="n">
        <f aca="false">IFERROR(__xludf.dummyfunction("""COMPUTED_VALUE"""),7)</f>
        <v>7</v>
      </c>
      <c r="D177" s="0" t="str">
        <f aca="false">IFERROR(__xludf.dummyfunction("""COMPUTED_VALUE"""),"AICI202110-6-1| Diligenciamiento de las actas de acuerdo a los lineamientos establecidos en el documento … (15/09/2021 - 31/03/2023)")</f>
        <v>AICI202110-6-1| Diligenciamiento de las actas de acuerdo a los lineamientos establecidos en el documento … (15/09/2021 - 31/03/2023)</v>
      </c>
      <c r="E177" s="0" t="str">
        <f aca="false">IFERROR(__xludf.dummyfunction("""COMPUTED_VALUE"""),"Dentro del acta realizada el día 5 de agosto del 2022 liderada por la subgerencia de prestación de servicios se presentan las metas de cada dirección  con el objetivo de establecer los lineamientos a los compromisos para los diferentes comités y direccion"&amp;"es ")</f>
        <v>Dentro del acta realizada el día 5 de agosto del 2022 liderada por la subgerencia de prestación de servicios se presentan las metas de cada dirección  con el objetivo de establecer los lineamientos a los compromisos para los diferentes comités y direcciones </v>
      </c>
      <c r="F177" s="0" t="str">
        <f aca="false">IFERROR(__xludf.dummyfunction("""COMPUTED_VALUE"""),"Completo")</f>
        <v>Completo</v>
      </c>
      <c r="G177" s="0" t="str">
        <f aca="false">IFERROR(__xludf.dummyfunction("""COMPUTED_VALUE"""),"Sí")</f>
        <v>Sí</v>
      </c>
    </row>
    <row r="178" customFormat="false" ht="14.25" hidden="false" customHeight="false" outlineLevel="0" collapsed="false">
      <c r="A178" s="18" t="str">
        <f aca="false">IFERROR(MID(D178,1,FIND("|",D178)-1)&amp;"-"&amp;C178,"")</f>
        <v>AICI202110-6-2-7</v>
      </c>
      <c r="B178" s="19" t="n">
        <f aca="false">IFERROR(__xludf.dummyfunction("""COMPUTED_VALUE"""),45117)</f>
        <v>45117</v>
      </c>
      <c r="C178" s="0" t="n">
        <f aca="false">IFERROR(__xludf.dummyfunction("""COMPUTED_VALUE"""),7)</f>
        <v>7</v>
      </c>
      <c r="D178" s="0" t="str">
        <f aca="false">IFERROR(__xludf.dummyfunction("""COMPUTED_VALUE"""),"AICI202110-6-2| Actualizar y socializar Herramienta de seguimiento a la Gestión de los Comités ES-GC-F-45. (15/09/2021 - 31/03/2023)")</f>
        <v>AICI202110-6-2| Actualizar y socializar Herramienta de seguimiento a la Gestión de los Comités ES-GC-F-45. (15/09/2021 - 31/03/2023)</v>
      </c>
      <c r="E178" s="0" t="str">
        <f aca="false">IFERROR(__xludf.dummyfunction("""COMPUTED_VALUE"""),"Dentro del acta realizada el día 24 de febrero del año 2023, se recuerda en el punto (11. varios) a los miembros del comité el funcionamiento efectivo de la HERRAMIENTA DE SEGUIMIENTO DE LA GESTIÓN DE COMITÉS ES-GC-F-45-02, se anexan actas de asistencia, ")</f>
        <v>Dentro del acta realizada el día 24 de febrero del año 2023, se recuerda en el punto (11. varios) a los miembros del comité el funcionamiento efectivo de la HERRAMIENTA DE SEGUIMIENTO DE LA GESTIÓN DE COMITÉS ES-GC-F-45-02, se anexan actas de asistencia, </v>
      </c>
      <c r="F178" s="0" t="str">
        <f aca="false">IFERROR(__xludf.dummyfunction("""COMPUTED_VALUE"""),"Completo")</f>
        <v>Completo</v>
      </c>
      <c r="G178" s="0" t="str">
        <f aca="false">IFERROR(__xludf.dummyfunction("""COMPUTED_VALUE"""),"Sí")</f>
        <v>Sí</v>
      </c>
    </row>
    <row r="179" customFormat="false" ht="14.25" hidden="false" customHeight="false" outlineLevel="0" collapsed="false">
      <c r="A179" s="18" t="str">
        <f aca="false">IFERROR(MID(D179,1,FIND("|",D179)-1)&amp;"-"&amp;C179,"")</f>
        <v>AICI202110-6-3-7</v>
      </c>
      <c r="B179" s="19" t="n">
        <f aca="false">IFERROR(__xludf.dummyfunction("""COMPUTED_VALUE"""),45117)</f>
        <v>45117</v>
      </c>
      <c r="C179" s="0" t="n">
        <f aca="false">IFERROR(__xludf.dummyfunction("""COMPUTED_VALUE"""),7)</f>
        <v>7</v>
      </c>
      <c r="D179" s="0" t="str">
        <f aca="false">IFERROR(__xludf.dummyfunction("""COMPUTED_VALUE"""),"AICI202110-6-3| Realizar verificación de la calidad de las actas a través del seguimiento realizado por la Oficina de calidad (01/01/2022 - 31/03/2023)")</f>
        <v>AICI202110-6-3| Realizar verificación de la calidad de las actas a través del seguimiento realizado por la Oficina de calidad (01/01/2022 - 31/03/2023)</v>
      </c>
      <c r="E179" s="0" t="str">
        <f aca="false">IFERROR(__xludf.dummyfunction("""COMPUTED_VALUE"""),"se evidencian actas de 14 comités del seguimiento realizado por la Oficina de Calidad.")</f>
        <v>se evidencian actas de 14 comités del seguimiento realizado por la Oficina de Calidad.</v>
      </c>
      <c r="F179" s="0" t="str">
        <f aca="false">IFERROR(__xludf.dummyfunction("""COMPUTED_VALUE"""),"Completo")</f>
        <v>Completo</v>
      </c>
      <c r="G179" s="0" t="str">
        <f aca="false">IFERROR(__xludf.dummyfunction("""COMPUTED_VALUE"""),"Sí")</f>
        <v>Sí</v>
      </c>
    </row>
    <row r="180" customFormat="false" ht="14.25" hidden="false" customHeight="false" outlineLevel="0" collapsed="false">
      <c r="A180" s="18" t="str">
        <f aca="false">IFERROR(MID(D180,1,FIND("|",D180)-1)&amp;"-"&amp;C180,"")</f>
        <v>AICI202110-6-4-7</v>
      </c>
      <c r="B180" s="19" t="n">
        <f aca="false">IFERROR(__xludf.dummyfunction("""COMPUTED_VALUE"""),45117)</f>
        <v>45117</v>
      </c>
      <c r="C180" s="0" t="n">
        <f aca="false">IFERROR(__xludf.dummyfunction("""COMPUTED_VALUE"""),7)</f>
        <v>7</v>
      </c>
      <c r="D180" s="0" t="str">
        <f aca="false">IFERROR(__xludf.dummyfunction("""COMPUTED_VALUE"""),"AICI202110-6-4| Presentar informe de los hallazgos a cada comité (01/05/2022 - 31/03/2023)")</f>
        <v>AICI202110-6-4| Presentar informe de los hallazgos a cada comité (01/05/2022 - 31/03/2023)</v>
      </c>
      <c r="E180" s="0" t="str">
        <f aca="false">IFERROR(__xludf.dummyfunction("""COMPUTED_VALUE"""),"SE EVIDENCIA INFORME REALIZADO A LOS COMITES EN DONDE SE SOCIALIZA A CADA UNO DE ELLOS LOS HALLAZGOS ")</f>
        <v>SE EVIDENCIA INFORME REALIZADO A LOS COMITES EN DONDE SE SOCIALIZA A CADA UNO DE ELLOS LOS HALLAZGOS </v>
      </c>
      <c r="F180" s="0" t="str">
        <f aca="false">IFERROR(__xludf.dummyfunction("""COMPUTED_VALUE"""),"Completo")</f>
        <v>Completo</v>
      </c>
      <c r="G180" s="0" t="str">
        <f aca="false">IFERROR(__xludf.dummyfunction("""COMPUTED_VALUE"""),"Sí")</f>
        <v>Sí</v>
      </c>
    </row>
    <row r="181" customFormat="false" ht="14.25" hidden="false" customHeight="false" outlineLevel="0" collapsed="false">
      <c r="A181" s="18" t="str">
        <f aca="false">IFERROR(MID(D181,1,FIND("|",D181)-1)&amp;"-"&amp;C181,"")</f>
        <v>AICI202110-7-1-7</v>
      </c>
      <c r="B181" s="19" t="n">
        <f aca="false">IFERROR(__xludf.dummyfunction("""COMPUTED_VALUE"""),45117)</f>
        <v>45117</v>
      </c>
      <c r="C181" s="0" t="n">
        <f aca="false">IFERROR(__xludf.dummyfunction("""COMPUTED_VALUE"""),7)</f>
        <v>7</v>
      </c>
      <c r="D181" s="0" t="str">
        <f aca="false">IFERROR(__xludf.dummyfunction("""COMPUTED_VALUE"""),"AICI202110-7-1| Socializar los Lineamientos generales para el seguimiento a compromisos derivados de auditorías … (15/09/2021 - 31/03/2023)")</f>
        <v>AICI202110-7-1| Socializar los Lineamientos generales para el seguimiento a compromisos derivados de auditorías … (15/09/2021 - 31/03/2023)</v>
      </c>
      <c r="E181" s="0" t="str">
        <f aca="false">IFERROR(__xludf.dummyfunction("""COMPUTED_VALUE"""),"HERRAMIENTA DE SEGUIMIENTO DE LA  GESTIÓN DE COMITÉS, EN DONDE SE EVIDENCIA EL SEGUIMIENTO A LOS COMPROMISOS CON SU PORCENTAJE DE CUMPLIMIENTO")</f>
        <v>HERRAMIENTA DE SEGUIMIENTO DE LA  GESTIÓN DE COMITÉS, EN DONDE SE EVIDENCIA EL SEGUIMIENTO A LOS COMPROMISOS CON SU PORCENTAJE DE CUMPLIMIENTO</v>
      </c>
      <c r="F181" s="0" t="str">
        <f aca="false">IFERROR(__xludf.dummyfunction("""COMPUTED_VALUE"""),"Completo")</f>
        <v>Completo</v>
      </c>
      <c r="G181" s="0" t="str">
        <f aca="false">IFERROR(__xludf.dummyfunction("""COMPUTED_VALUE"""),"Sí")</f>
        <v>Sí</v>
      </c>
    </row>
    <row r="182" customFormat="false" ht="14.25" hidden="false" customHeight="false" outlineLevel="0" collapsed="false">
      <c r="A182" s="18" t="str">
        <f aca="false">IFERROR(MID(D182,1,FIND("|",D182)-1)&amp;"-"&amp;C182,"")</f>
        <v>AICI202110-7-3-7</v>
      </c>
      <c r="B182" s="19" t="n">
        <f aca="false">IFERROR(__xludf.dummyfunction("""COMPUTED_VALUE"""),45117)</f>
        <v>45117</v>
      </c>
      <c r="C182" s="0" t="n">
        <f aca="false">IFERROR(__xludf.dummyfunction("""COMPUTED_VALUE"""),7)</f>
        <v>7</v>
      </c>
      <c r="D182" s="0" t="str">
        <f aca="false">IFERROR(__xludf.dummyfunction("""COMPUTED_VALUE"""),"AICI202110-7-3| Realizar verificación de la calidad de los planes de mejora y planes de acción a través del … (01/01/2022 - 31/03/2023)")</f>
        <v>AICI202110-7-3| Realizar verificación de la calidad de los planes de mejora y planes de acción a través del … (01/01/2022 - 31/03/2023)</v>
      </c>
      <c r="E182" s="0" t="str">
        <f aca="false">IFERROR(__xludf.dummyfunction("""COMPUTED_VALUE"""),"EL SOPORTE SE EVIDENCIA EN EL MODULO DE MECANISMOS , NO EXISTEN PLANES DE MEJORA DERIVADOS DE COMITES INSTITUCIONALES, PERO SE MONITOREA A TRAVES DE LOS COMPROMISOS DE CADA SESION")</f>
        <v>EL SOPORTE SE EVIDENCIA EN EL MODULO DE MECANISMOS , NO EXISTEN PLANES DE MEJORA DERIVADOS DE COMITES INSTITUCIONALES, PERO SE MONITOREA A TRAVES DE LOS COMPROMISOS DE CADA SESION</v>
      </c>
      <c r="F182" s="0" t="str">
        <f aca="false">IFERROR(__xludf.dummyfunction("""COMPUTED_VALUE"""),"Completo")</f>
        <v>Completo</v>
      </c>
      <c r="G182" s="0" t="str">
        <f aca="false">IFERROR(__xludf.dummyfunction("""COMPUTED_VALUE"""),"Sí")</f>
        <v>Sí</v>
      </c>
    </row>
    <row r="183" customFormat="false" ht="14.25" hidden="false" customHeight="false" outlineLevel="0" collapsed="false">
      <c r="A183" s="18" t="str">
        <f aca="false">IFERROR(MID(D183,1,FIND("|",D183)-1)&amp;"-"&amp;C183,"")</f>
        <v>AICI202110-7-4-7</v>
      </c>
      <c r="B183" s="19" t="n">
        <f aca="false">IFERROR(__xludf.dummyfunction("""COMPUTED_VALUE"""),45117)</f>
        <v>45117</v>
      </c>
      <c r="C183" s="0" t="n">
        <f aca="false">IFERROR(__xludf.dummyfunction("""COMPUTED_VALUE"""),7)</f>
        <v>7</v>
      </c>
      <c r="D183" s="0" t="str">
        <f aca="false">IFERROR(__xludf.dummyfunction("""COMPUTED_VALUE"""),"AICI202110-7-4| Presentar informe de los hallazgos a cada comité (01/05/2022 - 31/03/2023)")</f>
        <v>AICI202110-7-4| Presentar informe de los hallazgos a cada comité (01/05/2022 - 31/03/2023)</v>
      </c>
      <c r="E183" s="0" t="str">
        <f aca="false">IFERROR(__xludf.dummyfunction("""COMPUTED_VALUE"""),"SE EVIDENCIA INFORME REALIZADO A LOS COMITES EN DONDE SE SOCIALIZA A CADA UNO DE ELLOS LOS HALLAZGOS ")</f>
        <v>SE EVIDENCIA INFORME REALIZADO A LOS COMITES EN DONDE SE SOCIALIZA A CADA UNO DE ELLOS LOS HALLAZGOS </v>
      </c>
      <c r="F183" s="0" t="str">
        <f aca="false">IFERROR(__xludf.dummyfunction("""COMPUTED_VALUE"""),"Completo")</f>
        <v>Completo</v>
      </c>
      <c r="G183" s="0" t="str">
        <f aca="false">IFERROR(__xludf.dummyfunction("""COMPUTED_VALUE"""),"Sí")</f>
        <v>Sí</v>
      </c>
    </row>
    <row r="184" customFormat="false" ht="14.25" hidden="false" customHeight="false" outlineLevel="0" collapsed="false">
      <c r="A184" s="18" t="str">
        <f aca="false">IFERROR(MID(D184,1,FIND("|",D184)-1)&amp;"-"&amp;C184,"")</f>
        <v>AICI202110-8-1-7</v>
      </c>
      <c r="B184" s="19" t="n">
        <f aca="false">IFERROR(__xludf.dummyfunction("""COMPUTED_VALUE"""),45117)</f>
        <v>45117</v>
      </c>
      <c r="C184" s="0" t="n">
        <f aca="false">IFERROR(__xludf.dummyfunction("""COMPUTED_VALUE"""),7)</f>
        <v>7</v>
      </c>
      <c r="D184" s="0" t="str">
        <f aca="false">IFERROR(__xludf.dummyfunction("""COMPUTED_VALUE"""),"AICI202110-8-1| Realizar registro periódico y oportuno de la matriz de compromisos derivados de los comités … (15/09/2021 - 31/03/2023)")</f>
        <v>AICI202110-8-1| Realizar registro periódico y oportuno de la matriz de compromisos derivados de los comités … (15/09/2021 - 31/03/2023)</v>
      </c>
      <c r="E184" s="0" t="str">
        <f aca="false">IFERROR(__xludf.dummyfunction("""COMPUTED_VALUE"""),"SE ENCUENTRA ADJUNTO LA HERRAMIENTA DE SEGUIMIENTO A LA GESTION DE COMITES EVIDENCIANDO EL SEGUIMIENTO A LOS COMPROMISOS")</f>
        <v>SE ENCUENTRA ADJUNTO LA HERRAMIENTA DE SEGUIMIENTO A LA GESTION DE COMITES EVIDENCIANDO EL SEGUIMIENTO A LOS COMPROMISOS</v>
      </c>
      <c r="F184" s="0" t="str">
        <f aca="false">IFERROR(__xludf.dummyfunction("""COMPUTED_VALUE"""),"Completo")</f>
        <v>Completo</v>
      </c>
      <c r="G184" s="0" t="str">
        <f aca="false">IFERROR(__xludf.dummyfunction("""COMPUTED_VALUE"""),"Sí")</f>
        <v>Sí</v>
      </c>
    </row>
    <row r="185" customFormat="false" ht="14.25" hidden="false" customHeight="false" outlineLevel="0" collapsed="false">
      <c r="A185" s="18" t="str">
        <f aca="false">IFERROR(MID(D185,1,FIND("|",D185)-1)&amp;"-"&amp;C185,"")</f>
        <v>AICI202110-8-3-7</v>
      </c>
      <c r="B185" s="19" t="n">
        <f aca="false">IFERROR(__xludf.dummyfunction("""COMPUTED_VALUE"""),45117)</f>
        <v>45117</v>
      </c>
      <c r="C185" s="0" t="n">
        <f aca="false">IFERROR(__xludf.dummyfunction("""COMPUTED_VALUE"""),7)</f>
        <v>7</v>
      </c>
      <c r="D185" s="0" t="str">
        <f aca="false">IFERROR(__xludf.dummyfunction("""COMPUTED_VALUE"""),"AICI202110-8-3| Seguimiento y registro del avance porcentual de cumplimiento de cada compromiso en la matriz… (15/09/2021 - 31/03/2023)")</f>
        <v>AICI202110-8-3| Seguimiento y registro del avance porcentual de cumplimiento de cada compromiso en la matriz… (15/09/2021 - 31/03/2023)</v>
      </c>
      <c r="E185" s="0" t="str">
        <f aca="false">IFERROR(__xludf.dummyfunction("""COMPUTED_VALUE"""),"SE ENCUENTRA ADJUNTO LA HERRAMIENTA DE SEGUIMIENTO A LA GESTION DE COMITES EVIDENCIANDO EL SEGUIMIENTO A LOS PORCENTAJES MENSUALMENTE.")</f>
        <v>SE ENCUENTRA ADJUNTO LA HERRAMIENTA DE SEGUIMIENTO A LA GESTION DE COMITES EVIDENCIANDO EL SEGUIMIENTO A LOS PORCENTAJES MENSUALMENTE.</v>
      </c>
      <c r="F185" s="0" t="str">
        <f aca="false">IFERROR(__xludf.dummyfunction("""COMPUTED_VALUE"""),"Completo")</f>
        <v>Completo</v>
      </c>
      <c r="G185" s="0" t="str">
        <f aca="false">IFERROR(__xludf.dummyfunction("""COMPUTED_VALUE"""),"Sí")</f>
        <v>Sí</v>
      </c>
    </row>
    <row r="186" customFormat="false" ht="14.25" hidden="false" customHeight="false" outlineLevel="0" collapsed="false">
      <c r="A186" s="18" t="str">
        <f aca="false">IFERROR(MID(D186,1,FIND("|",D186)-1)&amp;"-"&amp;C186,"")</f>
        <v>AICI202110-8-4-7</v>
      </c>
      <c r="B186" s="19" t="n">
        <f aca="false">IFERROR(__xludf.dummyfunction("""COMPUTED_VALUE"""),45117)</f>
        <v>45117</v>
      </c>
      <c r="C186" s="0" t="n">
        <f aca="false">IFERROR(__xludf.dummyfunction("""COMPUTED_VALUE"""),7)</f>
        <v>7</v>
      </c>
      <c r="D186" s="0" t="str">
        <f aca="false">IFERROR(__xludf.dummyfunction("""COMPUTED_VALUE"""),"AICI202110-8-4| Realizar verificación de la calidad de las actas a través del seguimiento realizado por la Oficina de Calidad (15/09/2021 - 31/03/2023)")</f>
        <v>AICI202110-8-4| Realizar verificación de la calidad de las actas a través del seguimiento realizado por la Oficina de Calidad (15/09/2021 - 31/03/2023)</v>
      </c>
      <c r="E186" s="0" t="str">
        <f aca="false">IFERROR(__xludf.dummyfunction("""COMPUTED_VALUE"""),"SE EVIDENCIAN ACTAS CON SU RESPECTIVO DILIGENCIAMIENTO Y SOPORTES SEGÚN LOS LINEAMIENTOS Y REVISION POR PARTE D ELA OFICINA DE CALIDAD")</f>
        <v>SE EVIDENCIAN ACTAS CON SU RESPECTIVO DILIGENCIAMIENTO Y SOPORTES SEGÚN LOS LINEAMIENTOS Y REVISION POR PARTE D ELA OFICINA DE CALIDAD</v>
      </c>
      <c r="F186" s="0" t="str">
        <f aca="false">IFERROR(__xludf.dummyfunction("""COMPUTED_VALUE"""),"Completo")</f>
        <v>Completo</v>
      </c>
      <c r="G186" s="0" t="str">
        <f aca="false">IFERROR(__xludf.dummyfunction("""COMPUTED_VALUE"""),"Sí")</f>
        <v>Sí</v>
      </c>
    </row>
    <row r="187" customFormat="false" ht="14.25" hidden="false" customHeight="false" outlineLevel="0" collapsed="false">
      <c r="A187" s="18" t="str">
        <f aca="false">IFERROR(MID(D187,1,FIND("|",D187)-1)&amp;"-"&amp;C187,"")</f>
        <v>AICI202110-8-5-7</v>
      </c>
      <c r="B187" s="19" t="n">
        <f aca="false">IFERROR(__xludf.dummyfunction("""COMPUTED_VALUE"""),45117)</f>
        <v>45117</v>
      </c>
      <c r="C187" s="0" t="n">
        <f aca="false">IFERROR(__xludf.dummyfunction("""COMPUTED_VALUE"""),7)</f>
        <v>7</v>
      </c>
      <c r="D187" s="0" t="str">
        <f aca="false">IFERROR(__xludf.dummyfunction("""COMPUTED_VALUE"""),"AICI202110-8-5| Presentar informe de los hallazgos a cada comité (01/05/2022 - 31/03/2023)")</f>
        <v>AICI202110-8-5| Presentar informe de los hallazgos a cada comité (01/05/2022 - 31/03/2023)</v>
      </c>
      <c r="E187" s="0" t="str">
        <f aca="false">IFERROR(__xludf.dummyfunction("""COMPUTED_VALUE"""),"SE EVIDENCIA INFORME REALIZADO A CADA UNO DE LOS COMITES EN DONDE SE SOCIALIZAN LOS HALLAZGOS")</f>
        <v>SE EVIDENCIA INFORME REALIZADO A CADA UNO DE LOS COMITES EN DONDE SE SOCIALIZAN LOS HALLAZGOS</v>
      </c>
      <c r="F187" s="0" t="str">
        <f aca="false">IFERROR(__xludf.dummyfunction("""COMPUTED_VALUE"""),"Completo")</f>
        <v>Completo</v>
      </c>
      <c r="G187" s="0" t="str">
        <f aca="false">IFERROR(__xludf.dummyfunction("""COMPUTED_VALUE"""),"Sí")</f>
        <v>Sí</v>
      </c>
    </row>
    <row r="188" customFormat="false" ht="14.25" hidden="false" customHeight="false" outlineLevel="0" collapsed="false">
      <c r="A188" s="18" t="str">
        <f aca="false">IFERROR(MID(D188,1,FIND("|",D188)-1)&amp;"-"&amp;C188,"")</f>
        <v>AICI202110-9-3-7</v>
      </c>
      <c r="B188" s="19" t="n">
        <f aca="false">IFERROR(__xludf.dummyfunction("""COMPUTED_VALUE"""),45117)</f>
        <v>45117</v>
      </c>
      <c r="C188" s="0" t="n">
        <f aca="false">IFERROR(__xludf.dummyfunction("""COMPUTED_VALUE"""),7)</f>
        <v>7</v>
      </c>
      <c r="D188" s="0" t="str">
        <f aca="false">IFERROR(__xludf.dummyfunction("""COMPUTED_VALUE"""),"AICI202110-9-3| Remisión del informe a gestión de calidad para consolidación, análisis y recomendaciones … (01/02/2022 - 31/03/2023)")</f>
        <v>AICI202110-9-3| Remisión del informe a gestión de calidad para consolidación, análisis y recomendaciones … (01/02/2022 - 31/03/2023)</v>
      </c>
      <c r="E188" s="0" t="str">
        <f aca="false">IFERROR(__xludf.dummyfunction("""COMPUTED_VALUE"""),"SE ENCUENTRA ADJUNTO LA HERRAMIENTA DE SEGUIMIENTO A LA GESTION DE COMITES, EVIDENCIANDO EL SEGUIMIENTO A LOS COMPROMISOS, ACTA 20 DE FEBRERO 2023, ACTA DE REUNION DE COMITÉ INSTITUCIONALES 16 DE JUNIO DEL 2023 ")</f>
        <v>SE ENCUENTRA ADJUNTO LA HERRAMIENTA DE SEGUIMIENTO A LA GESTION DE COMITES, EVIDENCIANDO EL SEGUIMIENTO A LOS COMPROMISOS, ACTA 20 DE FEBRERO 2023, ACTA DE REUNION DE COMITÉ INSTITUCIONALES 16 DE JUNIO DEL 2023 </v>
      </c>
      <c r="F188" s="0" t="str">
        <f aca="false">IFERROR(__xludf.dummyfunction("""COMPUTED_VALUE"""),"Completo")</f>
        <v>Completo</v>
      </c>
      <c r="G188" s="0" t="str">
        <f aca="false">IFERROR(__xludf.dummyfunction("""COMPUTED_VALUE"""),"Sí")</f>
        <v>Sí</v>
      </c>
    </row>
    <row r="189" customFormat="false" ht="14.25" hidden="false" customHeight="false" outlineLevel="0" collapsed="false">
      <c r="A189" s="18" t="str">
        <f aca="false">IFERROR(MID(D189,1,FIND("|",D189)-1)&amp;"-"&amp;C189,"")</f>
        <v>AICI202110-9-4-7</v>
      </c>
      <c r="B189" s="19" t="n">
        <f aca="false">IFERROR(__xludf.dummyfunction("""COMPUTED_VALUE"""),45117)</f>
        <v>45117</v>
      </c>
      <c r="C189" s="0" t="n">
        <f aca="false">IFERROR(__xludf.dummyfunction("""COMPUTED_VALUE"""),7)</f>
        <v>7</v>
      </c>
      <c r="D189" s="0" t="str">
        <f aca="false">IFERROR(__xludf.dummyfunction("""COMPUTED_VALUE"""),"AICI202110-9-4| Elaboración y presentación de informe consolidado que incluya análisis y recomendaciones ... (01/02/2022 - 31/03/2023)")</f>
        <v>AICI202110-9-4| Elaboración y presentación de informe consolidado que incluya análisis y recomendaciones ... (01/02/2022 - 31/03/2023)</v>
      </c>
      <c r="E189" s="0" t="str">
        <f aca="false">IFERROR(__xludf.dummyfunction("""COMPUTED_VALUE"""),"EL SOPORTE SE EVIDENCIA EN EL MODULO DE MECANISMOS , NO EXISTEN PLANES DE MEJORA DERIVADOS DE COMITES INSTITUCIONALES")</f>
        <v>EL SOPORTE SE EVIDENCIA EN EL MODULO DE MECANISMOS , NO EXISTEN PLANES DE MEJORA DERIVADOS DE COMITES INSTITUCIONALES</v>
      </c>
      <c r="F189" s="0" t="str">
        <f aca="false">IFERROR(__xludf.dummyfunction("""COMPUTED_VALUE"""),"Completo")</f>
        <v>Completo</v>
      </c>
      <c r="G189" s="0" t="str">
        <f aca="false">IFERROR(__xludf.dummyfunction("""COMPUTED_VALUE"""),"Sí")</f>
        <v>Sí</v>
      </c>
    </row>
    <row r="190" customFormat="false" ht="14.25" hidden="false" customHeight="false" outlineLevel="0" collapsed="false">
      <c r="A190" s="18" t="str">
        <f aca="false">IFERROR(MID(D190,1,FIND("|",D190)-1)&amp;"-"&amp;C190,"")</f>
        <v>AICI202110-10-3-7</v>
      </c>
      <c r="B190" s="19" t="n">
        <f aca="false">IFERROR(__xludf.dummyfunction("""COMPUTED_VALUE"""),45117)</f>
        <v>45117</v>
      </c>
      <c r="C190" s="0" t="n">
        <f aca="false">IFERROR(__xludf.dummyfunction("""COMPUTED_VALUE"""),7)</f>
        <v>7</v>
      </c>
      <c r="D190" s="0" t="str">
        <f aca="false">IFERROR(__xludf.dummyfunction("""COMPUTED_VALUE"""),"AICI202110-10-3| Realizar verificación del manejo y custodia del archivo de los comités a través de la … (01/01/2022 - 31/03/2023)")</f>
        <v>AICI202110-10-3| Realizar verificación del manejo y custodia del archivo de los comités a través de la … (01/01/2022 - 31/03/2023)</v>
      </c>
      <c r="E190" s="0" t="str">
        <f aca="false">IFERROR(__xludf.dummyfunction("""COMPUTED_VALUE"""),"SE PRESENTA EL MANEJO Y CUSTODIA DE CADA UNO DE LOS COMITES INSTITUCIONALES A TRAVES DE LA HERRAMIENTA ALMERA DE ACUERDO AL NUEVO LINAMIENTO, A SU VEZ LOS SECRETARIOS TECNICOS SON LOS RESPONSABLES DE ACCESO A SUS COMITÉS")</f>
        <v>SE PRESENTA EL MANEJO Y CUSTODIA DE CADA UNO DE LOS COMITES INSTITUCIONALES A TRAVES DE LA HERRAMIENTA ALMERA DE ACUERDO AL NUEVO LINAMIENTO, A SU VEZ LOS SECRETARIOS TECNICOS SON LOS RESPONSABLES DE ACCESO A SUS COMITÉS</v>
      </c>
      <c r="F190" s="0" t="str">
        <f aca="false">IFERROR(__xludf.dummyfunction("""COMPUTED_VALUE"""),"Completo")</f>
        <v>Completo</v>
      </c>
      <c r="G190" s="0" t="str">
        <f aca="false">IFERROR(__xludf.dummyfunction("""COMPUTED_VALUE"""),"Sí")</f>
        <v>Sí</v>
      </c>
    </row>
    <row r="191" customFormat="false" ht="14.25" hidden="false" customHeight="false" outlineLevel="0" collapsed="false">
      <c r="A191" s="18" t="str">
        <f aca="false">IFERROR(MID(D191,1,FIND("|",D191)-1)&amp;"-"&amp;C191,"")</f>
        <v>AICI202110-10-4-7</v>
      </c>
      <c r="B191" s="19" t="n">
        <f aca="false">IFERROR(__xludf.dummyfunction("""COMPUTED_VALUE"""),45117)</f>
        <v>45117</v>
      </c>
      <c r="C191" s="0" t="n">
        <f aca="false">IFERROR(__xludf.dummyfunction("""COMPUTED_VALUE"""),7)</f>
        <v>7</v>
      </c>
      <c r="D191" s="0" t="str">
        <f aca="false">IFERROR(__xludf.dummyfunction("""COMPUTED_VALUE"""),"AICI202110-10-4| Presentar informe de los hallazgos a cada comité (01/05/2022 - 31/03/2023)")</f>
        <v>AICI202110-10-4| Presentar informe de los hallazgos a cada comité (01/05/2022 - 31/03/2023)</v>
      </c>
      <c r="E191" s="0" t="str">
        <f aca="false">IFERROR(__xludf.dummyfunction("""COMPUTED_VALUE"""),"SE EVIDENCIA INFORME REALIZADO A LOS COMITES EN DONDE SE SOCIALIZA A CADA UNO DE ELLOS LOS HALLAZGOS")</f>
        <v>SE EVIDENCIA INFORME REALIZADO A LOS COMITES EN DONDE SE SOCIALIZA A CADA UNO DE ELLOS LOS HALLAZGOS</v>
      </c>
      <c r="F191" s="0" t="str">
        <f aca="false">IFERROR(__xludf.dummyfunction("""COMPUTED_VALUE"""),"Completo")</f>
        <v>Completo</v>
      </c>
      <c r="G191" s="0" t="str">
        <f aca="false">IFERROR(__xludf.dummyfunction("""COMPUTED_VALUE"""),"Sí")</f>
        <v>Sí</v>
      </c>
    </row>
    <row r="192" customFormat="false" ht="14.25" hidden="false" customHeight="false" outlineLevel="0" collapsed="false">
      <c r="A192" s="18" t="str">
        <f aca="false">IFERROR(MID(D192,1,FIND("|",D192)-1)&amp;"-"&amp;C192,"")</f>
        <v>AICI202110-9-2-7</v>
      </c>
      <c r="B192" s="19" t="n">
        <f aca="false">IFERROR(__xludf.dummyfunction("""COMPUTED_VALUE"""),45128)</f>
        <v>45128</v>
      </c>
      <c r="C192" s="0" t="n">
        <f aca="false">IFERROR(__xludf.dummyfunction("""COMPUTED_VALUE"""),7)</f>
        <v>7</v>
      </c>
      <c r="D192" s="0" t="str">
        <f aca="false">IFERROR(__xludf.dummyfunction("""COMPUTED_VALUE"""),"AICI202110-9-2| elaboración y presentación del informe ejecutivo anual en la primera reunión del año de cada comité (01/02/2022 - 31/03/2023)")</f>
        <v>AICI202110-9-2| elaboración y presentación del informe ejecutivo anual en la primera reunión del año de cada comité (01/02/2022 - 31/03/2023)</v>
      </c>
      <c r="E192" s="0" t="str">
        <f aca="false">IFERROR(__xludf.dummyfunction("""COMPUTED_VALUE"""),"Se realizó verificación de los informes presentados por cada comité dentro del primer trimestre del año 2023 en donde se evidencia cada uno de ellos, los cuales se encuentran publicados en Almera.")</f>
        <v>Se realizó verificación de los informes presentados por cada comité dentro del primer trimestre del año 2023 en donde se evidencia cada uno de ellos, los cuales se encuentran publicados en Almera.</v>
      </c>
      <c r="F192" s="0" t="str">
        <f aca="false">IFERROR(__xludf.dummyfunction("""COMPUTED_VALUE"""),"Completo")</f>
        <v>Completo</v>
      </c>
      <c r="G192" s="0" t="str">
        <f aca="false">IFERROR(__xludf.dummyfunction("""COMPUTED_VALUE"""),"Sí")</f>
        <v>Sí</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1811</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AICI202111-1-1-1</v>
      </c>
      <c r="B4" s="19" t="n">
        <f aca="false">IFERROR(__xludf.dummyfunction("""COMPUTED_VALUE"""),44658)</f>
        <v>44658</v>
      </c>
      <c r="C4" s="0" t="n">
        <f aca="false">IFERROR(__xludf.dummyfunction("""COMPUTED_VALUE"""),1)</f>
        <v>1</v>
      </c>
      <c r="D4" s="0" t="str">
        <f aca="false">IFERROR(__xludf.dummyfunction("""COMPUTED_VALUE"""),"AICI202111-1-1| Realizar un plan de trabajo y enviarlo a Secretaría de Salud para su validación, teniendo en cuenta el trabajo que se lleva de la mano con Secretaría... (30/dic/2021 - 31/mar/2022)")</f>
        <v>AICI202111-1-1| Realizar un plan de trabajo y enviarlo a Secretaría de Salud para su validación, teniendo en cuenta el trabajo que se lleva de la mano con Secretaría... (30/dic/2021 - 31/mar/2022)</v>
      </c>
      <c r="E4" s="0" t="str">
        <f aca="false">IFERROR(__xludf.dummyfunction("""COMPUTED_VALUE"""),"Se informa a esta oficina por la profesional  Lina María Gómez Parra – Arquitecta de la oficina de Desarrollo Institucional que esta acción se dio cumplimiento a lo referente a que se realizó el Plan de trabajo para la ejecución de los procesos relacionad"&amp;"os a los Proyectos de infraestructura y se realizó un cronograma con los tiempos para el desarrollo de las actividades que corresponden a cada proyecto, además se elaboró  plan de trabajo al personal que labora en esta oficina donde se observa las activid"&amp;"ades y los tiempos donde se desarrollan las actividades de acuerdo a cada componente como son: Jurídico, técnicos,  financiero y biomédico. ")</f>
        <v>Se informa a esta oficina por la profesional  Lina María Gómez Parra – Arquitecta de la oficina de Desarrollo Institucional que esta acción se dio cumplimiento a lo referente a que se realizó el Plan de trabajo para la ejecución de los procesos relacionados a los Proyectos de infraestructura y se realizó un cronograma con los tiempos para el desarrollo de las actividades que corresponden a cada proyecto, además se elaboró  plan de trabajo al personal que labora en esta oficina donde se observa las actividades y los tiempos donde se desarrollan las actividades de acuerdo a cada componente como son: Jurídico, técnicos,  financiero y biomédico. </v>
      </c>
      <c r="F4" s="0" t="str">
        <f aca="false">IFERROR(__xludf.dummyfunction("""COMPUTED_VALUE"""),"Completo")</f>
        <v>Completo</v>
      </c>
      <c r="G4" s="0" t="str">
        <f aca="false">IFERROR(__xludf.dummyfunction("""COMPUTED_VALUE"""),"No")</f>
        <v>No</v>
      </c>
    </row>
    <row r="5" customFormat="false" ht="14.25" hidden="false" customHeight="false" outlineLevel="0" collapsed="false">
      <c r="A5" s="18" t="str">
        <f aca="false">IFERROR(MID(D5,1,FIND("|",D5)-1)&amp;"-"&amp;C5,"")</f>
        <v>AICI202111-3-1-1</v>
      </c>
      <c r="B5" s="19" t="n">
        <f aca="false">IFERROR(__xludf.dummyfunction("""COMPUTED_VALUE"""),44658)</f>
        <v>44658</v>
      </c>
      <c r="C5" s="0" t="n">
        <f aca="false">IFERROR(__xludf.dummyfunction("""COMPUTED_VALUE"""),1)</f>
        <v>1</v>
      </c>
      <c r="D5" s="0" t="str">
        <f aca="false">IFERROR(__xludf.dummyfunction("""COMPUTED_VALUE"""),"AICI202111-3-1| Actualizar, complementar y publicar la información de los proyectos de inversión en el portal WEB de la subred. (01/ene/2022 - 02/abr/2022)")</f>
        <v>AICI202111-3-1| Actualizar, complementar y publicar la información de los proyectos de inversión en el portal WEB de la subred. (01/ene/2022 - 02/abr/2022)</v>
      </c>
      <c r="E5" s="0" t="str">
        <f aca="false">IFERROR(__xludf.dummyfunction("""COMPUTED_VALUE"""),"Se solicito mediante correo electrónico la solicitud de actualización de la información en el portal WEB de la subred a lo referente a los procesos de infraestructura. Se enviara al correo de la ofician de CI esta información.")</f>
        <v>Se solicito mediante correo electrónico la solicitud de actualización de la información en el portal WEB de la subred a lo referente a los procesos de infraestructura. Se enviara al correo de la ofician de CI esta información.</v>
      </c>
      <c r="F5" s="0" t="str">
        <f aca="false">IFERROR(__xludf.dummyfunction("""COMPUTED_VALUE"""),"En desarrollo")</f>
        <v>En desarrollo</v>
      </c>
    </row>
    <row r="6" customFormat="false" ht="14.25" hidden="false" customHeight="false" outlineLevel="0" collapsed="false">
      <c r="A6" s="18" t="str">
        <f aca="false">IFERROR(MID(D6,1,FIND("|",D6)-1)&amp;"-"&amp;C6,"")</f>
        <v>AICI202111-3-4-1</v>
      </c>
      <c r="B6" s="19" t="n">
        <f aca="false">IFERROR(__xludf.dummyfunction("""COMPUTED_VALUE"""),44658)</f>
        <v>44658</v>
      </c>
      <c r="C6" s="0" t="n">
        <f aca="false">IFERROR(__xludf.dummyfunction("""COMPUTED_VALUE"""),1)</f>
        <v>1</v>
      </c>
      <c r="D6" s="0" t="str">
        <f aca="false">IFERROR(__xludf.dummyfunction("""COMPUTED_VALUE"""),"AICI202111-3-4| Capacitar al personal de la Oficina y lideres de los procesos, sobre Gestión Documental. (01/ene/2022 - 02/abr/2022)")</f>
        <v>AICI202111-3-4| Capacitar al personal de la Oficina y lideres de los procesos, sobre Gestión Documental. (01/ene/2022 - 02/abr/2022)</v>
      </c>
      <c r="E6" s="0" t="str">
        <f aca="false">IFERROR(__xludf.dummyfunction("""COMPUTED_VALUE"""),"Se solicito mediante correo electrónico la solicitud de Capacitar al personal de la Oficina y lideres de los procesos, sobre Gestión Documental.   Se enviara al correo de la ofician de CI esta información.")</f>
        <v>Se solicito mediante correo electrónico la solicitud de Capacitar al personal de la Oficina y lideres de los procesos, sobre Gestión Documental.   Se enviara al correo de la ofician de CI esta información.</v>
      </c>
      <c r="F6" s="0" t="str">
        <f aca="false">IFERROR(__xludf.dummyfunction("""COMPUTED_VALUE"""),"En desarrollo")</f>
        <v>En desarrollo</v>
      </c>
    </row>
    <row r="7" customFormat="false" ht="14.25" hidden="false" customHeight="false" outlineLevel="0" collapsed="false">
      <c r="A7" s="18" t="str">
        <f aca="false">IFERROR(MID(D7,1,FIND("|",D7)-1)&amp;"-"&amp;C7,"")</f>
        <v>AICI202111-4-1-1</v>
      </c>
      <c r="B7" s="19" t="n">
        <f aca="false">IFERROR(__xludf.dummyfunction("""COMPUTED_VALUE"""),44658)</f>
        <v>44658</v>
      </c>
      <c r="C7" s="0" t="n">
        <f aca="false">IFERROR(__xludf.dummyfunction("""COMPUTED_VALUE"""),1)</f>
        <v>1</v>
      </c>
      <c r="D7" s="0" t="str">
        <f aca="false">IFERROR(__xludf.dummyfunction("""COMPUTED_VALUE"""),"AICI202111-4-1| Realizar un seguimiento a la información y adoptar el procedimiento adecuado para alojar la información, así como un BackUp de la información que reposa en el drive. (02/ene/2022 - 03/abr/2022)")</f>
        <v>AICI202111-4-1| Realizar un seguimiento a la información y adoptar el procedimiento adecuado para alojar la información, así como un BackUp de la información que reposa en el drive. (02/ene/2022 - 03/abr/2022)</v>
      </c>
      <c r="E7" s="0" t="str">
        <f aca="false">IFERROR(__xludf.dummyfunction("""COMPUTED_VALUE"""),"Se solicito mediante correo electrónico la solicitud de Capacitar al personal de la Oficina y lideres de los procesos, sobre Gestión Documental.   Se enviara al correo de la ofician de CI esta información.")</f>
        <v>Se solicito mediante correo electrónico la solicitud de Capacitar al personal de la Oficina y lideres de los procesos, sobre Gestión Documental.   Se enviara al correo de la ofician de CI esta información.</v>
      </c>
      <c r="F7" s="0" t="str">
        <f aca="false">IFERROR(__xludf.dummyfunction("""COMPUTED_VALUE"""),"En desarrollo")</f>
        <v>En desarrollo</v>
      </c>
    </row>
    <row r="8" customFormat="false" ht="14.25" hidden="false" customHeight="false" outlineLevel="0" collapsed="false">
      <c r="A8" s="18" t="str">
        <f aca="false">IFERROR(MID(D8,1,FIND("|",D8)-1)&amp;"-"&amp;C8,"")</f>
        <v>AICI202111-2-1-2</v>
      </c>
      <c r="B8" s="19" t="n">
        <f aca="false">IFERROR(__xludf.dummyfunction("""COMPUTED_VALUE"""),44753)</f>
        <v>44753</v>
      </c>
      <c r="C8" s="0" t="n">
        <f aca="false">IFERROR(__xludf.dummyfunction("""COMPUTED_VALUE"""),2)</f>
        <v>2</v>
      </c>
      <c r="D8" s="0" t="str">
        <f aca="false">IFERROR(__xludf.dummyfunction("""COMPUTED_VALUE"""),"AICI202111-2-1| Actualizar los Manuales de Procedimientos para el primer trimestre del año 2022... (31/dic/2021 - 01/abr/2022)")</f>
        <v>AICI202111-2-1| Actualizar los Manuales de Procedimientos para el primer trimestre del año 2022... (31/dic/2021 - 01/abr/2022)</v>
      </c>
      <c r="E8"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8" s="0" t="str">
        <f aca="false">IFERROR(__xludf.dummyfunction("""COMPUTED_VALUE"""),"Atrasado")</f>
        <v>Atrasado</v>
      </c>
    </row>
    <row r="9" customFormat="false" ht="14.25" hidden="false" customHeight="false" outlineLevel="0" collapsed="false">
      <c r="A9" s="18" t="str">
        <f aca="false">IFERROR(MID(D9,1,FIND("|",D9)-1)&amp;"-"&amp;C9,"")</f>
        <v>AICI202111-3-1-2</v>
      </c>
      <c r="B9" s="19" t="n">
        <f aca="false">IFERROR(__xludf.dummyfunction("""COMPUTED_VALUE"""),44753)</f>
        <v>44753</v>
      </c>
      <c r="C9" s="0" t="n">
        <f aca="false">IFERROR(__xludf.dummyfunction("""COMPUTED_VALUE"""),2)</f>
        <v>2</v>
      </c>
      <c r="D9" s="0" t="str">
        <f aca="false">IFERROR(__xludf.dummyfunction("""COMPUTED_VALUE"""),"AICI202111-3-1| Actualizar, complementar y publicar la información de los proyectos de inversión en el portal WEB de la subred. (01/ene/2022 - 02/abr/2022)")</f>
        <v>AICI202111-3-1| Actualizar, complementar y publicar la información de los proyectos de inversión en el portal WEB de la subred. (01/ene/2022 - 02/abr/2022)</v>
      </c>
      <c r="E9"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9" s="0" t="str">
        <f aca="false">IFERROR(__xludf.dummyfunction("""COMPUTED_VALUE"""),"Atrasado")</f>
        <v>Atrasado</v>
      </c>
    </row>
    <row r="10" customFormat="false" ht="14.25" hidden="false" customHeight="false" outlineLevel="0" collapsed="false">
      <c r="A10" s="18" t="str">
        <f aca="false">IFERROR(MID(D10,1,FIND("|",D10)-1)&amp;"-"&amp;C10,"")</f>
        <v>AICI202111-3-2-2</v>
      </c>
      <c r="B10" s="19" t="n">
        <f aca="false">IFERROR(__xludf.dummyfunction("""COMPUTED_VALUE"""),44753)</f>
        <v>44753</v>
      </c>
      <c r="C10" s="0" t="n">
        <f aca="false">IFERROR(__xludf.dummyfunction("""COMPUTED_VALUE"""),2)</f>
        <v>2</v>
      </c>
      <c r="D10" s="0" t="str">
        <f aca="false">IFERROR(__xludf.dummyfunction("""COMPUTED_VALUE"""),"AICI202111-3-2| Organizar e inventariar los documentos y generar backUps de la información que reposa en el drive (01/ene/2022 - 02/abr/2022)")</f>
        <v>AICI202111-3-2| Organizar e inventariar los documentos y generar backUps de la información que reposa en el drive (01/ene/2022 - 02/abr/2022)</v>
      </c>
      <c r="E10"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10" s="0" t="str">
        <f aca="false">IFERROR(__xludf.dummyfunction("""COMPUTED_VALUE"""),"Atrasado")</f>
        <v>Atrasado</v>
      </c>
    </row>
    <row r="11" customFormat="false" ht="14.25" hidden="false" customHeight="false" outlineLevel="0" collapsed="false">
      <c r="A11" s="18" t="str">
        <f aca="false">IFERROR(MID(D11,1,FIND("|",D11)-1)&amp;"-"&amp;C11,"")</f>
        <v>AICI202111-3-3-2</v>
      </c>
      <c r="B11" s="19" t="n">
        <f aca="false">IFERROR(__xludf.dummyfunction("""COMPUTED_VALUE"""),44753)</f>
        <v>44753</v>
      </c>
      <c r="C11" s="0" t="n">
        <f aca="false">IFERROR(__xludf.dummyfunction("""COMPUTED_VALUE"""),2)</f>
        <v>2</v>
      </c>
      <c r="D11" s="0" t="str">
        <f aca="false">IFERROR(__xludf.dummyfunction("""COMPUTED_VALUE"""),"AICI202111-3-3| Conformar el archivo de documentos de acuerdo con las TRD aprobadas (01/ene/2022 - 02/abr/2022)")</f>
        <v>AICI202111-3-3| Conformar el archivo de documentos de acuerdo con las TRD aprobadas (01/ene/2022 - 02/abr/2022)</v>
      </c>
      <c r="E11"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11" s="0" t="str">
        <f aca="false">IFERROR(__xludf.dummyfunction("""COMPUTED_VALUE"""),"Atrasado")</f>
        <v>Atrasado</v>
      </c>
    </row>
    <row r="12" customFormat="false" ht="14.25" hidden="false" customHeight="false" outlineLevel="0" collapsed="false">
      <c r="A12" s="18" t="str">
        <f aca="false">IFERROR(MID(D12,1,FIND("|",D12)-1)&amp;"-"&amp;C12,"")</f>
        <v>AICI202111-3-4-2</v>
      </c>
      <c r="B12" s="19" t="n">
        <f aca="false">IFERROR(__xludf.dummyfunction("""COMPUTED_VALUE"""),44753)</f>
        <v>44753</v>
      </c>
      <c r="C12" s="0" t="n">
        <f aca="false">IFERROR(__xludf.dummyfunction("""COMPUTED_VALUE"""),2)</f>
        <v>2</v>
      </c>
      <c r="D12" s="0" t="str">
        <f aca="false">IFERROR(__xludf.dummyfunction("""COMPUTED_VALUE"""),"AICI202111-3-4| Capacitar al personal de la Oficina y lideres de los procesos, sobre Gestión Documental. (01/ene/2022 - 02/abr/2022)")</f>
        <v>AICI202111-3-4| Capacitar al personal de la Oficina y lideres de los procesos, sobre Gestión Documental. (01/ene/2022 - 02/abr/2022)</v>
      </c>
      <c r="E12"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12" s="0" t="str">
        <f aca="false">IFERROR(__xludf.dummyfunction("""COMPUTED_VALUE"""),"Atrasado")</f>
        <v>Atrasado</v>
      </c>
    </row>
    <row r="13" customFormat="false" ht="14.25" hidden="false" customHeight="false" outlineLevel="0" collapsed="false">
      <c r="A13" s="18" t="str">
        <f aca="false">IFERROR(MID(D13,1,FIND("|",D13)-1)&amp;"-"&amp;C13,"")</f>
        <v>AICI202111-4-1-2</v>
      </c>
      <c r="B13" s="19" t="n">
        <f aca="false">IFERROR(__xludf.dummyfunction("""COMPUTED_VALUE"""),44753)</f>
        <v>44753</v>
      </c>
      <c r="C13" s="0" t="n">
        <f aca="false">IFERROR(__xludf.dummyfunction("""COMPUTED_VALUE"""),2)</f>
        <v>2</v>
      </c>
      <c r="D13" s="0" t="str">
        <f aca="false">IFERROR(__xludf.dummyfunction("""COMPUTED_VALUE"""),"AICI202111-4-1| Realizar un seguimiento a la información y adoptar el procedimiento adecuado para alojar la información, así como un BackUp de la información que reposa en el drive. (02/ene/2022 - 03/abr/2022)")</f>
        <v>AICI202111-4-1| Realizar un seguimiento a la información y adoptar el procedimiento adecuado para alojar la información, así como un BackUp de la información que reposa en el drive. (02/ene/2022 - 03/abr/2022)</v>
      </c>
      <c r="E13"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13" s="0" t="str">
        <f aca="false">IFERROR(__xludf.dummyfunction("""COMPUTED_VALUE"""),"Atrasado")</f>
        <v>Atrasado</v>
      </c>
    </row>
    <row r="14" customFormat="false" ht="14.25" hidden="false" customHeight="false" outlineLevel="0" collapsed="false">
      <c r="A14" s="18" t="str">
        <f aca="false">IFERROR(MID(D14,1,FIND("|",D14)-1)&amp;"-"&amp;C14,"")</f>
        <v>AICI202111-5-1-2</v>
      </c>
      <c r="B14" s="19" t="n">
        <f aca="false">IFERROR(__xludf.dummyfunction("""COMPUTED_VALUE"""),44753)</f>
        <v>44753</v>
      </c>
      <c r="C14" s="0" t="n">
        <f aca="false">IFERROR(__xludf.dummyfunction("""COMPUTED_VALUE"""),2)</f>
        <v>2</v>
      </c>
      <c r="D14" s="0" t="str">
        <f aca="false">IFERROR(__xludf.dummyfunction("""COMPUTED_VALUE"""),"AICI202111-5-1| Capacitar al personal de los equipos sobre los procesos que desarrolla la Oficina. (03/ene/2022 - 04/abr/2022)")</f>
        <v>AICI202111-5-1| Capacitar al personal de los equipos sobre los procesos que desarrolla la Oficina. (03/ene/2022 - 04/abr/2022)</v>
      </c>
      <c r="E14"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14" s="0" t="str">
        <f aca="false">IFERROR(__xludf.dummyfunction("""COMPUTED_VALUE"""),"Atrasado")</f>
        <v>Atrasado</v>
      </c>
    </row>
    <row r="15" customFormat="false" ht="14.25" hidden="false" customHeight="false" outlineLevel="0" collapsed="false">
      <c r="A15" s="18" t="str">
        <f aca="false">IFERROR(MID(D15,1,FIND("|",D15)-1)&amp;"-"&amp;C15,"")</f>
        <v>AICI202111-6-1-2</v>
      </c>
      <c r="B15" s="19" t="n">
        <f aca="false">IFERROR(__xludf.dummyfunction("""COMPUTED_VALUE"""),44753)</f>
        <v>44753</v>
      </c>
      <c r="C15" s="0" t="n">
        <f aca="false">IFERROR(__xludf.dummyfunction("""COMPUTED_VALUE"""),2)</f>
        <v>2</v>
      </c>
      <c r="D15" s="0" t="str">
        <f aca="false">IFERROR(__xludf.dummyfunction("""COMPUTED_VALUE"""),"AICI202111-6-1| Elaborar una metodología para la administración del riesgo en cuanto a los procesos, formulación y ejecución de los proyectos de Inversión. (04/ene/2022 - 05/abr/2022)")</f>
        <v>AICI202111-6-1| Elaborar una metodología para la administración del riesgo en cuanto a los procesos, formulación y ejecución de los proyectos de Inversión. (04/ene/2022 - 05/abr/2022)</v>
      </c>
      <c r="E15"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15" s="0" t="str">
        <f aca="false">IFERROR(__xludf.dummyfunction("""COMPUTED_VALUE"""),"Atrasado")</f>
        <v>Atrasado</v>
      </c>
    </row>
    <row r="16" customFormat="false" ht="14.25" hidden="false" customHeight="false" outlineLevel="0" collapsed="false">
      <c r="A16" s="18" t="str">
        <f aca="false">IFERROR(MID(D16,1,FIND("|",D16)-1)&amp;"-"&amp;C16,"")</f>
        <v>AICI202111-7-1-2</v>
      </c>
      <c r="B16" s="19" t="n">
        <f aca="false">IFERROR(__xludf.dummyfunction("""COMPUTED_VALUE"""),44753)</f>
        <v>44753</v>
      </c>
      <c r="C16" s="0" t="n">
        <f aca="false">IFERROR(__xludf.dummyfunction("""COMPUTED_VALUE"""),2)</f>
        <v>2</v>
      </c>
      <c r="D16" s="0" t="str">
        <f aca="false">IFERROR(__xludf.dummyfunction("""COMPUTED_VALUE"""),"AICI202111-7-1| Capacitar y divulgar entre el personal sobre las metas y acciones propuestas en el plan Operativo anual. (05/ene/2022 - 06/abr/2022)")</f>
        <v>AICI202111-7-1| Capacitar y divulgar entre el personal sobre las metas y acciones propuestas en el plan Operativo anual. (05/ene/2022 - 06/abr/2022)</v>
      </c>
      <c r="E16"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16" s="0" t="str">
        <f aca="false">IFERROR(__xludf.dummyfunction("""COMPUTED_VALUE"""),"Atrasado")</f>
        <v>Atrasado</v>
      </c>
    </row>
    <row r="17" customFormat="false" ht="14.25" hidden="false" customHeight="false" outlineLevel="0" collapsed="false">
      <c r="A17" s="18" t="str">
        <f aca="false">IFERROR(MID(D17,1,FIND("|",D17)-1)&amp;"-"&amp;C17,"")</f>
        <v>AICI202111-2-1-3</v>
      </c>
      <c r="B17" s="19" t="n">
        <f aca="false">IFERROR(__xludf.dummyfunction("""COMPUTED_VALUE"""),44841)</f>
        <v>44841</v>
      </c>
      <c r="C17" s="0" t="n">
        <f aca="false">IFERROR(__xludf.dummyfunction("""COMPUTED_VALUE"""),3)</f>
        <v>3</v>
      </c>
      <c r="D17" s="0" t="str">
        <f aca="false">IFERROR(__xludf.dummyfunction("""COMPUTED_VALUE"""),"AICI202111-2-1| Actualizar los Manuales de Procedimientos para el primer trimestre del año 2022... (31/dic/2021 - 01/abr/2022)")</f>
        <v>AICI202111-2-1| Actualizar los Manuales de Procedimientos para el primer trimestre del año 2022... (31/dic/2021 - 01/abr/2022)</v>
      </c>
      <c r="E17" s="0" t="str">
        <f aca="false">IFERROR(__xludf.dummyfunction("""COMPUTED_VALUE"""),"La Oficina Asesora de Desarrollo Institucional, continua trabajando  en la actualidad en los Manuales de Procedimientos, se atenderá el desarrollo del plan de trabajo establecido para la socialización y actualización de riesgos previsto para Octubre 2022."&amp;" se anexa borrador de lo trabajado hasta el momento")</f>
        <v>La Oficina Asesora de Desarrollo Institucional, continua trabajando  en la actualidad en los Manuales de Procedimientos, se atenderá el desarrollo del plan de trabajo establecido para la socialización y actualización de riesgos previsto para Octubre 2022. se anexa borrador de lo trabajado hasta el momento</v>
      </c>
      <c r="F17" s="0" t="str">
        <f aca="false">IFERROR(__xludf.dummyfunction("""COMPUTED_VALUE"""),"Atrasado")</f>
        <v>Atrasado</v>
      </c>
    </row>
    <row r="18" customFormat="false" ht="14.25" hidden="false" customHeight="false" outlineLevel="0" collapsed="false">
      <c r="A18" s="18" t="str">
        <f aca="false">IFERROR(MID(D18,1,FIND("|",D18)-1)&amp;"-"&amp;C18,"")</f>
        <v>AICI202111-3-1-3</v>
      </c>
      <c r="B18" s="19" t="n">
        <f aca="false">IFERROR(__xludf.dummyfunction("""COMPUTED_VALUE"""),44841)</f>
        <v>44841</v>
      </c>
      <c r="C18" s="0" t="n">
        <f aca="false">IFERROR(__xludf.dummyfunction("""COMPUTED_VALUE"""),3)</f>
        <v>3</v>
      </c>
      <c r="D18" s="0" t="str">
        <f aca="false">IFERROR(__xludf.dummyfunction("""COMPUTED_VALUE"""),"AICI202111-3-1| Actualizar, complementar y publicar la información de los proyectos de inversión en el portal WEB de la subred. (01/ene/2022 - 02/abr/2022)")</f>
        <v>AICI202111-3-1| Actualizar, complementar y publicar la información de los proyectos de inversión en el portal WEB de la subred. (01/ene/2022 - 02/abr/2022)</v>
      </c>
      <c r="E18" s="0" t="str">
        <f aca="false">IFERROR(__xludf.dummyfunction("""COMPUTED_VALUE"""),"Se observa publicación  en la intranet de la Subred Norte de los proyectos de inversión en el , link  https://www.subrednorte.gov.co/transparencia/planeacion/programas-y-proyectos/proyectos-inversion")</f>
        <v>Se observa publicación  en la intranet de la Subred Norte de los proyectos de inversión en el , link  https://www.subrednorte.gov.co/transparencia/planeacion/programas-y-proyectos/proyectos-inversion</v>
      </c>
      <c r="F18" s="0" t="str">
        <f aca="false">IFERROR(__xludf.dummyfunction("""COMPUTED_VALUE"""),"Completo")</f>
        <v>Completo</v>
      </c>
      <c r="G18" s="0" t="str">
        <f aca="false">IFERROR(__xludf.dummyfunction("""COMPUTED_VALUE"""),"Sí")</f>
        <v>Sí</v>
      </c>
    </row>
    <row r="19" customFormat="false" ht="14.25" hidden="false" customHeight="false" outlineLevel="0" collapsed="false">
      <c r="A19" s="18" t="str">
        <f aca="false">IFERROR(MID(D19,1,FIND("|",D19)-1)&amp;"-"&amp;C19,"")</f>
        <v>AICI202111-3-2-3</v>
      </c>
      <c r="B19" s="19" t="n">
        <f aca="false">IFERROR(__xludf.dummyfunction("""COMPUTED_VALUE"""),44841)</f>
        <v>44841</v>
      </c>
      <c r="C19" s="0" t="n">
        <f aca="false">IFERROR(__xludf.dummyfunction("""COMPUTED_VALUE"""),3)</f>
        <v>3</v>
      </c>
      <c r="D19" s="0" t="str">
        <f aca="false">IFERROR(__xludf.dummyfunction("""COMPUTED_VALUE"""),"AICI202111-3-2| Organizar e inventariar los documentos y generar backUps de la información que reposa en el drive (01/ene/2022 - 02/abr/2022)")</f>
        <v>AICI202111-3-2| Organizar e inventariar los documentos y generar backUps de la información que reposa en el drive (01/ene/2022 - 02/abr/2022)</v>
      </c>
      <c r="E19" s="0" t="str">
        <f aca="false">IFERROR(__xludf.dummyfunction("""COMPUTED_VALUE"""),"La información que se tiene de los proyectos de inversión e infraestructura se encuentra en share point de la institución, soporte anexo 3,2 imagen drive información ")</f>
        <v>La información que se tiene de los proyectos de inversión e infraestructura se encuentra en share point de la institución, soporte anexo 3,2 imagen drive información </v>
      </c>
      <c r="F19" s="0" t="str">
        <f aca="false">IFERROR(__xludf.dummyfunction("""COMPUTED_VALUE"""),"Completo")</f>
        <v>Completo</v>
      </c>
      <c r="G19" s="0" t="str">
        <f aca="false">IFERROR(__xludf.dummyfunction("""COMPUTED_VALUE"""),"Sí")</f>
        <v>Sí</v>
      </c>
    </row>
    <row r="20" customFormat="false" ht="14.25" hidden="false" customHeight="false" outlineLevel="0" collapsed="false">
      <c r="A20" s="18" t="str">
        <f aca="false">IFERROR(MID(D20,1,FIND("|",D20)-1)&amp;"-"&amp;C20,"")</f>
        <v>AICI202111-3-3-3</v>
      </c>
      <c r="B20" s="19" t="n">
        <f aca="false">IFERROR(__xludf.dummyfunction("""COMPUTED_VALUE"""),44841)</f>
        <v>44841</v>
      </c>
      <c r="C20" s="0" t="n">
        <f aca="false">IFERROR(__xludf.dummyfunction("""COMPUTED_VALUE"""),3)</f>
        <v>3</v>
      </c>
      <c r="D20" s="0" t="str">
        <f aca="false">IFERROR(__xludf.dummyfunction("""COMPUTED_VALUE"""),"AICI202111-3-3| Conformar el archivo de documentos de acuerdo con las TRD aprobadas (01/ene/2022 - 02/abr/2022)")</f>
        <v>AICI202111-3-3| Conformar el archivo de documentos de acuerdo con las TRD aprobadas (01/ene/2022 - 02/abr/2022)</v>
      </c>
      <c r="E20" s="0" t="str">
        <f aca="false">IFERROR(__xludf.dummyfunction("""COMPUTED_VALUE"""),"Verificar archivo físico en Fray, carpetas de la documentación de infraestructura según las TRD en físico ")</f>
        <v>Verificar archivo físico en Fray, carpetas de la documentación de infraestructura según las TRD en físico </v>
      </c>
      <c r="F20" s="0" t="str">
        <f aca="false">IFERROR(__xludf.dummyfunction("""COMPUTED_VALUE"""),"Atrasado")</f>
        <v>Atrasado</v>
      </c>
    </row>
    <row r="21" customFormat="false" ht="14.25" hidden="false" customHeight="false" outlineLevel="0" collapsed="false">
      <c r="A21" s="18" t="str">
        <f aca="false">IFERROR(MID(D21,1,FIND("|",D21)-1)&amp;"-"&amp;C21,"")</f>
        <v>AICI202111-3-4-3</v>
      </c>
      <c r="B21" s="19" t="n">
        <f aca="false">IFERROR(__xludf.dummyfunction("""COMPUTED_VALUE"""),44841)</f>
        <v>44841</v>
      </c>
      <c r="C21" s="0" t="n">
        <f aca="false">IFERROR(__xludf.dummyfunction("""COMPUTED_VALUE"""),3)</f>
        <v>3</v>
      </c>
      <c r="D21" s="0" t="str">
        <f aca="false">IFERROR(__xludf.dummyfunction("""COMPUTED_VALUE"""),"AICI202111-3-4| Capacitar al personal de la Oficina y lideres de los procesos, sobre Gestión Documental. (01/ene/2022 - 02/abr/2022)")</f>
        <v>AICI202111-3-4| Capacitar al personal de la Oficina y lideres de los procesos, sobre Gestión Documental. (01/ene/2022 - 02/abr/2022)</v>
      </c>
      <c r="E21" s="0" t="str">
        <f aca="false">IFERROR(__xludf.dummyfunction("""COMPUTED_VALUE"""),"Se realiza capacitación con Gestión documental sobre la Gestión documental y se anexa formato de capacitación y soporte de capacitación. Anexo 3,4. Capacitación TRD y 3,4. soporte capacitación TRD 21 abril")</f>
        <v>Se realiza capacitación con Gestión documental sobre la Gestión documental y se anexa formato de capacitación y soporte de capacitación. Anexo 3,4. Capacitación TRD y 3,4. soporte capacitación TRD 21 abril</v>
      </c>
      <c r="F21" s="0" t="str">
        <f aca="false">IFERROR(__xludf.dummyfunction("""COMPUTED_VALUE"""),"Completo")</f>
        <v>Completo</v>
      </c>
      <c r="G21" s="0" t="str">
        <f aca="false">IFERROR(__xludf.dummyfunction("""COMPUTED_VALUE"""),"Sí")</f>
        <v>Sí</v>
      </c>
    </row>
    <row r="22" customFormat="false" ht="14.25" hidden="false" customHeight="false" outlineLevel="0" collapsed="false">
      <c r="A22" s="18" t="str">
        <f aca="false">IFERROR(MID(D22,1,FIND("|",D22)-1)&amp;"-"&amp;C22,"")</f>
        <v>AICI202111-4-1-3</v>
      </c>
      <c r="B22" s="19" t="n">
        <f aca="false">IFERROR(__xludf.dummyfunction("""COMPUTED_VALUE"""),44841)</f>
        <v>44841</v>
      </c>
      <c r="C22" s="0" t="n">
        <f aca="false">IFERROR(__xludf.dummyfunction("""COMPUTED_VALUE"""),3)</f>
        <v>3</v>
      </c>
      <c r="D22" s="0" t="str">
        <f aca="false">IFERROR(__xludf.dummyfunction("""COMPUTED_VALUE"""),"AICI202111-4-1| Realizar un seguimiento a la información y adoptar el procedimiento adecuado para alojar la información, así como un BackUp de la información que reposa en el drive. (02/ene/2022 - 03/abr/2022)")</f>
        <v>AICI202111-4-1| Realizar un seguimiento a la información y adoptar el procedimiento adecuado para alojar la información, así como un BackUp de la información que reposa en el drive. (02/ene/2022 - 03/abr/2022)</v>
      </c>
      <c r="E22" s="0" t="str">
        <f aca="false">IFERROR(__xludf.dummyfunction("""COMPUTED_VALUE"""),"La información que se tiene de los proyectos de inversión e infraestructura se encuentra en share point de la institución.")</f>
        <v>La información que se tiene de los proyectos de inversión e infraestructura se encuentra en share point de la institución.</v>
      </c>
      <c r="F22" s="0" t="str">
        <f aca="false">IFERROR(__xludf.dummyfunction("""COMPUTED_VALUE"""),"Completo")</f>
        <v>Completo</v>
      </c>
      <c r="G22" s="0" t="str">
        <f aca="false">IFERROR(__xludf.dummyfunction("""COMPUTED_VALUE"""),"Sí")</f>
        <v>Sí</v>
      </c>
    </row>
    <row r="23" customFormat="false" ht="14.25" hidden="false" customHeight="false" outlineLevel="0" collapsed="false">
      <c r="A23" s="18" t="str">
        <f aca="false">IFERROR(MID(D23,1,FIND("|",D23)-1)&amp;"-"&amp;C23,"")</f>
        <v>AICI202111-5-1-3</v>
      </c>
      <c r="B23" s="19" t="n">
        <f aca="false">IFERROR(__xludf.dummyfunction("""COMPUTED_VALUE"""),44841)</f>
        <v>44841</v>
      </c>
      <c r="C23" s="0" t="n">
        <f aca="false">IFERROR(__xludf.dummyfunction("""COMPUTED_VALUE"""),3)</f>
        <v>3</v>
      </c>
      <c r="D23" s="0" t="str">
        <f aca="false">IFERROR(__xludf.dummyfunction("""COMPUTED_VALUE"""),"AICI202111-5-1| Capacitar al personal de los equipos sobre los procesos que desarrolla la Oficina. (03/ene/2022 - 04/abr/2022)")</f>
        <v>AICI202111-5-1| Capacitar al personal de los equipos sobre los procesos que desarrolla la Oficina. (03/ene/2022 - 04/abr/2022)</v>
      </c>
      <c r="E23" s="0" t="str">
        <f aca="false">IFERROR(__xludf.dummyfunction("""COMPUTED_VALUE"""),"La información que se tiene de los proyectos de inversión e infraestructura se encuentra en share point de la institución, soporte anexo 3,2 imagen drive información - 3,4. Capacitación TRD ")</f>
        <v>La información que se tiene de los proyectos de inversión e infraestructura se encuentra en share point de la institución, soporte anexo 3,2 imagen drive información - 3,4. Capacitación TRD </v>
      </c>
      <c r="F23" s="0" t="str">
        <f aca="false">IFERROR(__xludf.dummyfunction("""COMPUTED_VALUE"""),"Completo")</f>
        <v>Completo</v>
      </c>
      <c r="G23" s="0" t="str">
        <f aca="false">IFERROR(__xludf.dummyfunction("""COMPUTED_VALUE"""),"Sí")</f>
        <v>Sí</v>
      </c>
    </row>
    <row r="24" customFormat="false" ht="14.25" hidden="false" customHeight="false" outlineLevel="0" collapsed="false">
      <c r="A24" s="18" t="str">
        <f aca="false">IFERROR(MID(D24,1,FIND("|",D24)-1)&amp;"-"&amp;C24,"")</f>
        <v>AICI202111-6-1-3</v>
      </c>
      <c r="B24" s="19" t="n">
        <f aca="false">IFERROR(__xludf.dummyfunction("""COMPUTED_VALUE"""),44841)</f>
        <v>44841</v>
      </c>
      <c r="C24" s="0" t="n">
        <f aca="false">IFERROR(__xludf.dummyfunction("""COMPUTED_VALUE"""),3)</f>
        <v>3</v>
      </c>
      <c r="D24" s="0" t="str">
        <f aca="false">IFERROR(__xludf.dummyfunction("""COMPUTED_VALUE"""),"AICI202111-6-1| Elaborar una metodología para la administración del riesgo en cuanto a los procesos, formulación y ejecución de los proyectos de Inversión. (04/ene/2022 - 05/abr/2022)")</f>
        <v>AICI202111-6-1| Elaborar una metodología para la administración del riesgo en cuanto a los procesos, formulación y ejecución de los proyectos de Inversión. (04/ene/2022 - 05/abr/2022)</v>
      </c>
      <c r="E24" s="0" t="str">
        <f aca="false">IFERROR(__xludf.dummyfunction("""COMPUTED_VALUE"""),"La Oficina Asesora de Desarrollo Institucional, continua trabajando  en la actualidad en los Manuales de Procedimientos, se atenderá el desarrollo del plan de trabajo establecido para la socialización y actualización de riesgos previsto para Octubre 2022."&amp;" se anexa borrador de lo trabajado hasta el momento")</f>
        <v>La Oficina Asesora de Desarrollo Institucional, continua trabajando  en la actualidad en los Manuales de Procedimientos, se atenderá el desarrollo del plan de trabajo establecido para la socialización y actualización de riesgos previsto para Octubre 2022. se anexa borrador de lo trabajado hasta el momento</v>
      </c>
      <c r="F24" s="0" t="str">
        <f aca="false">IFERROR(__xludf.dummyfunction("""COMPUTED_VALUE"""),"Atrasado")</f>
        <v>Atrasado</v>
      </c>
    </row>
    <row r="25" customFormat="false" ht="14.25" hidden="false" customHeight="false" outlineLevel="0" collapsed="false">
      <c r="A25" s="18" t="str">
        <f aca="false">IFERROR(MID(D25,1,FIND("|",D25)-1)&amp;"-"&amp;C25,"")</f>
        <v>AICI202111-7-1-3</v>
      </c>
      <c r="B25" s="19" t="n">
        <f aca="false">IFERROR(__xludf.dummyfunction("""COMPUTED_VALUE"""),44841)</f>
        <v>44841</v>
      </c>
      <c r="C25" s="0" t="n">
        <f aca="false">IFERROR(__xludf.dummyfunction("""COMPUTED_VALUE"""),3)</f>
        <v>3</v>
      </c>
      <c r="D25" s="0" t="str">
        <f aca="false">IFERROR(__xludf.dummyfunction("""COMPUTED_VALUE"""),"AICI202111-7-1| Capacitar y divulgar entre el personal sobre las metas y acciones propuestas en el plan Operativo anual. (05/ene/2022 - 06/abr/2022)")</f>
        <v>AICI202111-7-1| Capacitar y divulgar entre el personal sobre las metas y acciones propuestas en el plan Operativo anual. (05/ene/2022 - 06/abr/2022)</v>
      </c>
      <c r="E25" s="0" t="str">
        <f aca="false">IFERROR(__xludf.dummyfunction("""COMPUTED_VALUE"""),"Se realiza capacitación  entre el personal sobre las metas y acciones propuestas en el plan Operativo anual del proceso de Gestión Estratégica. Se Anexa ACTA de socialización.")</f>
        <v>Se realiza capacitación  entre el personal sobre las metas y acciones propuestas en el plan Operativo anual del proceso de Gestión Estratégica. Se Anexa ACTA de socialización.</v>
      </c>
      <c r="F25" s="0" t="str">
        <f aca="false">IFERROR(__xludf.dummyfunction("""COMPUTED_VALUE"""),"Completo")</f>
        <v>Completo</v>
      </c>
      <c r="G25" s="0" t="str">
        <f aca="false">IFERROR(__xludf.dummyfunction("""COMPUTED_VALUE"""),"Sí")</f>
        <v>Sí</v>
      </c>
    </row>
    <row r="26" customFormat="false" ht="14.25" hidden="false" customHeight="false" outlineLevel="0" collapsed="false">
      <c r="A26" s="18" t="str">
        <f aca="false">IFERROR(MID(D26,1,FIND("|",D26)-1)&amp;"-"&amp;C26,"")</f>
        <v>AICI202111-2-1-4</v>
      </c>
      <c r="B26" s="19" t="n">
        <f aca="false">IFERROR(__xludf.dummyfunction("""COMPUTED_VALUE"""),44938)</f>
        <v>44938</v>
      </c>
      <c r="C26" s="0" t="n">
        <f aca="false">IFERROR(__xludf.dummyfunction("""COMPUTED_VALUE"""),4)</f>
        <v>4</v>
      </c>
      <c r="D26" s="0" t="str">
        <f aca="false">IFERROR(__xludf.dummyfunction("""COMPUTED_VALUE"""),"AICI202111-2-1| Actualizar los Manuales de Procedimientos para el primer trimestre del año 2022... (31/dic/2021 - 01/abr/2022)")</f>
        <v>AICI202111-2-1| Actualizar los Manuales de Procedimientos para el primer trimestre del año 2022... (31/dic/2021 - 01/abr/2022)</v>
      </c>
      <c r="E26" s="0" t="str">
        <f aca="false">IFERROR(__xludf.dummyfunction("""COMPUTED_VALUE"""),"A la fecha se continua trabajando en el Manuales de Procedimientos y se  cuenta con el borrador en revisión y aprobación por el la oficina de desarrollo para su tramite ante la oficina de calidad, del Procedimiento ""Gestión de Proyectos de Infraestructur"&amp;"a en Salud, que corresponde al Subproceso de Formulación y Gestión de Proyectos de Inversión.")</f>
        <v>A la fecha se continua trabajando en el Manuales de Procedimientos y se  cuenta con el borrador en revisión y aprobación por el la oficina de desarrollo para su tramite ante la oficina de calidad, del Procedimiento "Gestión de Proyectos de Infraestructura en Salud, que corresponde al Subproceso de Formulación y Gestión de Proyectos de Inversión.</v>
      </c>
      <c r="F26" s="0" t="str">
        <f aca="false">IFERROR(__xludf.dummyfunction("""COMPUTED_VALUE"""),"En desarrollo")</f>
        <v>En desarrollo</v>
      </c>
    </row>
    <row r="27" customFormat="false" ht="14.25" hidden="false" customHeight="false" outlineLevel="0" collapsed="false">
      <c r="A27" s="18" t="str">
        <f aca="false">IFERROR(MID(D27,1,FIND("|",D27)-1)&amp;"-"&amp;C27,"")</f>
        <v>AICI202111-3-3-4</v>
      </c>
      <c r="B27" s="19" t="n">
        <f aca="false">IFERROR(__xludf.dummyfunction("""COMPUTED_VALUE"""),44938)</f>
        <v>44938</v>
      </c>
      <c r="C27" s="0" t="n">
        <f aca="false">IFERROR(__xludf.dummyfunction("""COMPUTED_VALUE"""),4)</f>
        <v>4</v>
      </c>
      <c r="D27" s="0" t="str">
        <f aca="false">IFERROR(__xludf.dummyfunction("""COMPUTED_VALUE"""),"AICI202111-3-3| Conformar el archivo de documentos de acuerdo con las TRD aprobadas (01/ene/2022 - 02/abr/2022)")</f>
        <v>AICI202111-3-3| Conformar el archivo de documentos de acuerdo con las TRD aprobadas (01/ene/2022 - 02/abr/2022)</v>
      </c>
      <c r="E27" s="0" t="str">
        <f aca="false">IFERROR(__xludf.dummyfunction("""COMPUTED_VALUE"""),"Se programó capacitación para el 12 de 01 de 2023 con la oficina de Gestión Documental  con el fin de que el  equipo de infraestructura tenga conocimiento de la normatividad y metodología del archivo físico y magnético de cada proyecto de inversión confor"&amp;"me a las tablas de retención documental, de acuerdo a lo anterior  realizará un diagnóstico para la organización del archivo de los documentos del área de infraestructura de Desarrollo Institucional.")</f>
        <v>Se programó capacitación para el 12 de 01 de 2023 con la oficina de Gestión Documental  con el fin de que el  equipo de infraestructura tenga conocimiento de la normatividad y metodología del archivo físico y magnético de cada proyecto de inversión conforme a las tablas de retención documental, de acuerdo a lo anterior  realizará un diagnóstico para la organización del archivo de los documentos del área de infraestructura de Desarrollo Institucional.</v>
      </c>
      <c r="F27" s="0" t="str">
        <f aca="false">IFERROR(__xludf.dummyfunction("""COMPUTED_VALUE"""),"En desarrollo")</f>
        <v>En desarrollo</v>
      </c>
    </row>
    <row r="28" customFormat="false" ht="14.25" hidden="false" customHeight="false" outlineLevel="0" collapsed="false">
      <c r="A28" s="18" t="str">
        <f aca="false">IFERROR(MID(D28,1,FIND("|",D28)-1)&amp;"-"&amp;C28,"")</f>
        <v>AICI202111-6-1-4</v>
      </c>
      <c r="B28" s="19" t="n">
        <f aca="false">IFERROR(__xludf.dummyfunction("""COMPUTED_VALUE"""),44938)</f>
        <v>44938</v>
      </c>
      <c r="C28" s="0" t="n">
        <f aca="false">IFERROR(__xludf.dummyfunction("""COMPUTED_VALUE"""),4)</f>
        <v>4</v>
      </c>
      <c r="D28" s="0" t="str">
        <f aca="false">IFERROR(__xludf.dummyfunction("""COMPUTED_VALUE"""),"AICI202111-6-1| Elaborar una metodología para la administración del riesgo en cuanto a los procesos, formulación y ejecución de los proyectos de Inversión. (04/ene/2022 - 05/abr/2022)")</f>
        <v>AICI202111-6-1| Elaborar una metodología para la administración del riesgo en cuanto a los procesos, formulación y ejecución de los proyectos de Inversión. (04/ene/2022 - 05/abr/2022)</v>
      </c>
      <c r="E28" s="0" t="str">
        <f aca="false">IFERROR(__xludf.dummyfunction("""COMPUTED_VALUE"""),"Se realizó Jornada de Actualización de Riesgos Institucionales 2022 - 2023 - Subred Norte  E.S.E  en la que se  relacionó los temas como: Capacitación  en conceptos establecidos por la normatividad interna y externa de la Administración del Riesgo y su ac"&amp;"tualización de acuerdo a la  metodología establecida para el levantamiento, evaluación, valoración y seguimiento a los riesgos identificados en la Subred.")</f>
        <v>Se realizó Jornada de Actualización de Riesgos Institucionales 2022 - 2023 - Subred Norte  E.S.E  en la que se  relacionó los temas como: Capacitación  en conceptos establecidos por la normatividad interna y externa de la Administración del Riesgo y su actualización de acuerdo a la  metodología establecida para el levantamiento, evaluación, valoración y seguimiento a los riesgos identificados en la Subred.</v>
      </c>
      <c r="F28" s="0" t="str">
        <f aca="false">IFERROR(__xludf.dummyfunction("""COMPUTED_VALUE"""),"En desarrollo")</f>
        <v>En desarrollo</v>
      </c>
    </row>
    <row r="29" customFormat="false" ht="14.25" hidden="false" customHeight="false" outlineLevel="0" collapsed="false">
      <c r="A29" s="18" t="str">
        <f aca="false">IFERROR(MID(D29,1,FIND("|",D29)-1)&amp;"-"&amp;C29,"")</f>
        <v>AICI202111-2-1-5</v>
      </c>
      <c r="B29" s="19" t="n">
        <f aca="false">IFERROR(__xludf.dummyfunction("""COMPUTED_VALUE"""),45033)</f>
        <v>45033</v>
      </c>
      <c r="C29" s="0" t="n">
        <f aca="false">IFERROR(__xludf.dummyfunction("""COMPUTED_VALUE"""),5)</f>
        <v>5</v>
      </c>
      <c r="D29" s="0" t="str">
        <f aca="false">IFERROR(__xludf.dummyfunction("""COMPUTED_VALUE"""),"AICI202111-2-1| Actualizar los Manuales de Procedimientos para el primer trimestre del año 2022... (31/12/2021 - 31/03/2022)")</f>
        <v>AICI202111-2-1| Actualizar los Manuales de Procedimientos para el primer trimestre del año 2022... (31/12/2021 - 31/03/2022)</v>
      </c>
      <c r="E29" s="0" t="str">
        <f aca="false">IFERROR(__xludf.dummyfunction("""COMPUTED_VALUE"""),"Desarrollo Institucional anexa el procedimiento actualizado de FORMULACIÓN, EJECUCIÓN Y SEGUIMIENTO DE  PROYECTOS EN SALUD, el cual fue remitido al grupo de desarrollo organizacional encargado de la normalización, al revisar en ALMERA aparece una panilla "&amp;"no diligenciada.")</f>
        <v>Desarrollo Institucional anexa el procedimiento actualizado de FORMULACIÓN, EJECUCIÓN Y SEGUIMIENTO DE  PROYECTOS EN SALUD, el cual fue remitido al grupo de desarrollo organizacional encargado de la normalización, al revisar en ALMERA aparece una panilla no diligenciada.</v>
      </c>
      <c r="F29" s="0" t="str">
        <f aca="false">IFERROR(__xludf.dummyfunction("""COMPUTED_VALUE"""),"Atrasado")</f>
        <v>Atrasado</v>
      </c>
    </row>
    <row r="30" customFormat="false" ht="14.25" hidden="false" customHeight="false" outlineLevel="0" collapsed="false">
      <c r="A30" s="18" t="str">
        <f aca="false">IFERROR(MID(D30,1,FIND("|",D30)-1)&amp;"-"&amp;C30,"")</f>
        <v>AICI202111-3-3-5</v>
      </c>
      <c r="B30" s="19" t="n">
        <f aca="false">IFERROR(__xludf.dummyfunction("""COMPUTED_VALUE"""),45033)</f>
        <v>45033</v>
      </c>
      <c r="C30" s="0" t="n">
        <f aca="false">IFERROR(__xludf.dummyfunction("""COMPUTED_VALUE"""),5)</f>
        <v>5</v>
      </c>
      <c r="D30" s="0" t="str">
        <f aca="false">IFERROR(__xludf.dummyfunction("""COMPUTED_VALUE"""),"AICI202111-3-3| Conformar el archivo de documentos de acuerdo con las TRD aprobadas (01/01/2022 - 31/03/2023)")</f>
        <v>AICI202111-3-3| Conformar el archivo de documentos de acuerdo con las TRD aprobadas (01/01/2022 - 31/03/2023)</v>
      </c>
      <c r="E30" s="0" t="str">
        <f aca="false">IFERROR(__xludf.dummyfunction("""COMPUTED_VALUE"""),"Se han realizado mesas de trabajo con sus respectivas actas, planillas de asistencia entre  el área de Gestión Documental y el equipo de infraestructura, a la fecha del seguimiento están  en revaluación y diagnostico, la organización física de los informe"&amp;"s mensuales de los contratos derivados de cada uno de los convenios en ejecución. ")</f>
        <v>Se han realizado mesas de trabajo con sus respectivas actas, planillas de asistencia entre  el área de Gestión Documental y el equipo de infraestructura, a la fecha del seguimiento están  en revaluación y diagnostico, la organización física de los informes mensuales de los contratos derivados de cada uno de los convenios en ejecución. </v>
      </c>
      <c r="F30" s="0" t="str">
        <f aca="false">IFERROR(__xludf.dummyfunction("""COMPUTED_VALUE"""),"Atrasado")</f>
        <v>Atrasado</v>
      </c>
    </row>
    <row r="31" customFormat="false" ht="14.25" hidden="false" customHeight="false" outlineLevel="0" collapsed="false">
      <c r="A31" s="18" t="str">
        <f aca="false">IFERROR(MID(D31,1,FIND("|",D31)-1)&amp;"-"&amp;C31,"")</f>
        <v>AICI202111-6-1-5</v>
      </c>
      <c r="B31" s="19" t="n">
        <f aca="false">IFERROR(__xludf.dummyfunction("""COMPUTED_VALUE"""),45033)</f>
        <v>45033</v>
      </c>
      <c r="C31" s="0" t="n">
        <f aca="false">IFERROR(__xludf.dummyfunction("""COMPUTED_VALUE"""),5)</f>
        <v>5</v>
      </c>
      <c r="D31" s="0" t="str">
        <f aca="false">IFERROR(__xludf.dummyfunction("""COMPUTED_VALUE"""),"AICI202111-6-1| Elaborar una metodología para la administración del riesgo en cuanto a los procesos, formulación y ejecución de los proyectos de Inversión. (04/01/2022 - 31/03/2023)")</f>
        <v>AICI202111-6-1| Elaborar una metodología para la administración del riesgo en cuanto a los procesos, formulación y ejecución de los proyectos de Inversión. (04/01/2022 - 31/03/2023)</v>
      </c>
      <c r="E31" s="0" t="str">
        <f aca="false">IFERROR(__xludf.dummyfunction("""COMPUTED_VALUE"""),"En la plataforma de Almera, están registrados 3 riesgos asociados al Subproceso Gestión de Proyectos, a los cuales se realizan seguimientos trimestrales. ")</f>
        <v>En la plataforma de Almera, están registrados 3 riesgos asociados al Subproceso Gestión de Proyectos, a los cuales se realizan seguimientos trimestrales. </v>
      </c>
      <c r="F31" s="0" t="str">
        <f aca="false">IFERROR(__xludf.dummyfunction("""COMPUTED_VALUE"""),"Completo")</f>
        <v>Completo</v>
      </c>
      <c r="G31" s="0" t="str">
        <f aca="false">IFERROR(__xludf.dummyfunction("""COMPUTED_VALUE"""),"Sí")</f>
        <v>Sí</v>
      </c>
    </row>
    <row r="32" customFormat="false" ht="14.25" hidden="false" customHeight="false" outlineLevel="0" collapsed="false">
      <c r="A32" s="18" t="str">
        <f aca="false">IFERROR(MID(D32,1,FIND("|",D32)-1)&amp;"-"&amp;C32,"")</f>
        <v>AICI202111-2-1-6</v>
      </c>
      <c r="B32" s="19" t="n">
        <f aca="false">IFERROR(__xludf.dummyfunction("""COMPUTED_VALUE"""),45117)</f>
        <v>45117</v>
      </c>
      <c r="C32" s="0" t="n">
        <f aca="false">IFERROR(__xludf.dummyfunction("""COMPUTED_VALUE"""),6)</f>
        <v>6</v>
      </c>
      <c r="D32" s="0" t="str">
        <f aca="false">IFERROR(__xludf.dummyfunction("""COMPUTED_VALUE"""),"AICI202111-2-1| Actualizar los Manuales de Procedimientos para el primer trimestre del año 2022... (31/12/2021 - 31/03/2022)")</f>
        <v>AICI202111-2-1| Actualizar los Manuales de Procedimientos para el primer trimestre del año 2022... (31/12/2021 - 31/03/2022)</v>
      </c>
      <c r="E32" s="0" t="str">
        <f aca="false">IFERROR(__xludf.dummyfunction("""COMPUTED_VALUE"""),"La oficina de Desarrollo Institucional  actualizo el Procedimiento: ES-GE-P-01-03 PROCEDIMIENTO FORMULACIÓN, EJECUCIÓN Y SEGUIMIENTO DE PROYECTOS EN SALUD, el cual ya se encuentra publicado en el aplicativo Almera.
  ")</f>
        <v>La oficina de Desarrollo Institucional  actualizo el Procedimiento: ES-GE-P-01-03 PROCEDIMIENTO FORMULACIÓN, EJECUCIÓN Y SEGUIMIENTO DE PROYECTOS EN SALUD, el cual ya se encuentra publicado en el aplicativo Almera.
  </v>
      </c>
      <c r="F32" s="0" t="str">
        <f aca="false">IFERROR(__xludf.dummyfunction("""COMPUTED_VALUE"""),"Completo")</f>
        <v>Completo</v>
      </c>
      <c r="G32" s="0" t="str">
        <f aca="false">IFERROR(__xludf.dummyfunction("""COMPUTED_VALUE"""),"Sí")</f>
        <v>Sí</v>
      </c>
    </row>
    <row r="33" customFormat="false" ht="14.25" hidden="false" customHeight="false" outlineLevel="0" collapsed="false">
      <c r="A33" s="18" t="str">
        <f aca="false">IFERROR(MID(D33,1,FIND("|",D33)-1)&amp;"-"&amp;C33,"")</f>
        <v>AICI202111-3-3-6</v>
      </c>
      <c r="B33" s="19" t="n">
        <f aca="false">IFERROR(__xludf.dummyfunction("""COMPUTED_VALUE"""),45117)</f>
        <v>45117</v>
      </c>
      <c r="C33" s="0" t="n">
        <f aca="false">IFERROR(__xludf.dummyfunction("""COMPUTED_VALUE"""),6)</f>
        <v>6</v>
      </c>
      <c r="D33" s="0" t="str">
        <f aca="false">IFERROR(__xludf.dummyfunction("""COMPUTED_VALUE"""),"AICI202111-3-3| Conformar el archivo de documentos de acuerdo con las TRD aprobadas (01/01/2022 - 31/03/2023)")</f>
        <v>AICI202111-3-3| Conformar el archivo de documentos de acuerdo con las TRD aprobadas (01/01/2022 - 31/03/2023)</v>
      </c>
      <c r="E33" s="0" t="str">
        <f aca="false">IFERROR(__xludf.dummyfunction("""COMPUTED_VALUE"""),"Se procedió a organizar toda la información generada por la gestión y ejecución de los convenios y proyectos de infraestructura en un drive  para la oficina de Desarrollo Institucional ubicado en un servidor de la Subred Norte, donde se archivan todos los"&amp;" documentos de los convenio y contratos derivados. ")</f>
        <v>Se procedió a organizar toda la información generada por la gestión y ejecución de los convenios y proyectos de infraestructura en un drive  para la oficina de Desarrollo Institucional ubicado en un servidor de la Subred Norte, donde se archivan todos los documentos de los convenio y contratos derivados. </v>
      </c>
      <c r="F33" s="0" t="str">
        <f aca="false">IFERROR(__xludf.dummyfunction("""COMPUTED_VALUE"""),"Completo")</f>
        <v>Completo</v>
      </c>
      <c r="G33" s="0" t="str">
        <f aca="false">IFERROR(__xludf.dummyfunction("""COMPUTED_VALUE"""),"No")</f>
        <v>No</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1812</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AICI202112-1-1-1</v>
      </c>
      <c r="B4" s="19" t="n">
        <f aca="false">IFERROR(__xludf.dummyfunction("""COMPUTED_VALUE"""),44841)</f>
        <v>44841</v>
      </c>
      <c r="C4" s="0" t="n">
        <f aca="false">IFERROR(__xludf.dummyfunction("""COMPUTED_VALUE"""),1)</f>
        <v>1</v>
      </c>
      <c r="D4" s="0" t="str">
        <f aca="false">IFERROR(__xludf.dummyfunction("""COMPUTED_VALUE"""),"AICI202112-1-1| Socializar a los supervisores de contrato la obligatoriedad de dar publicidad a los informes de supervision y demas soportes generados ... (01/ene/2022 - 30/ago/2022)")</f>
        <v>AICI202112-1-1| Socializar a los supervisores de contrato la obligatoriedad de dar publicidad a los informes de supervision y demas soportes generados ... (01/ene/2022 - 30/ago/2022)</v>
      </c>
      <c r="E4" s="0" t="str">
        <f aca="false">IFERROR(__xludf.dummyfunction("""COMPUTED_VALUE"""),"La Dirección de Contratación a través de comunicado Interno del 31 de enero del 2022, realizo socialización sobre lineamientos para la solicitud de tramites contractuales nuevos, modificaciones de bienes y servicios e instructivos de cargue de facturas e "&amp;"informes de supervisión al SECOP II.
De igual manera, el 2 de marzo del 2022 se socializo nuevamente a través de pieza comunicativa a los correos institucionales los lineamientos, así como los instructivos realizados para los supervisores y proveedores pa"&amp;"ra el cargue de facturas e informes de supervisión a la plataforma SECOP II.
Como estrategia esta Dirección realizo BRIEF, el cual a través del área de comunicaciones se socializo de manera masiva a través de correo electrónico donde se recuerda la import"&amp;"ancia de dar cumplimiento al proceso de cargue y aprobación de facturas en SECOP II por parte de los supervisores de contrato.
Se realizó, Capacitación el día viernes, 30 de septiembre de 2022, a los supervisores y a sus apoyos, con el fin de ser socializ"&amp;"ar las fases: a.	Planeación. b.	Precontractual. c. Contractual. d. Pos contractual.
La entidad cuenta con el Manual de supervisión e interventoría contractual, el cual se encuentra disponible en la página web de la entidad y es socializado con cada superv"&amp;"isor designado en el proceso contractual. 
Además, en cada notificación de inicio de ejecución contractual mediante el documento (designación de supervisión) se le indica cuales son las obligaciones y funciones a ejercer durante el ejercicio del mismo has"&amp;"ta su terminación. 
")</f>
        <v>La Dirección de Contratación a través de comunicado Interno del 31 de enero del 2022, realizo socialización sobre lineamientos para la solicitud de tramites contractuales nuevos, modificaciones de bienes y servicios e instructivos de cargue de facturas e informes de supervisión al SECOP II.
De igual manera, el 2 de marzo del 2022 se socializo nuevamente a través de pieza comunicativa a los correos institucionales los lineamientos, así como los instructivos realizados para los supervisores y proveedores para el cargue de facturas e informes de supervisión a la plataforma SECOP II.
Como estrategia esta Dirección realizo BRIEF, el cual a través del área de comunicaciones se socializo de manera masiva a través de correo electrónico donde se recuerda la importancia de dar cumplimiento al proceso de cargue y aprobación de facturas en SECOP II por parte de los supervisores de contrato.
Se realizó, Capacitación el día viernes, 30 de septiembre de 2022, a los supervisores y a sus apoyos, con el fin de ser socializar las fases: a.	Planeación. b.	Precontractual. c. Contractual. d. Pos contractual.
La entidad cuenta con el Manual de supervisión e interventoría contractual, el cual se encuentra disponible en la página web de la entidad y es socializado con cada supervisor designado en el proceso contractual. 
Además, en cada notificación de inicio de ejecución contractual mediante el documento (designación de supervisión) se le indica cuales son las obligaciones y funciones a ejercer durante el ejercicio del mismo hasta su terminación. 
</v>
      </c>
      <c r="F4" s="0" t="str">
        <f aca="false">IFERROR(__xludf.dummyfunction("""COMPUTED_VALUE"""),"Completo")</f>
        <v>Completo</v>
      </c>
      <c r="G4" s="0" t="str">
        <f aca="false">IFERROR(__xludf.dummyfunction("""COMPUTED_VALUE"""),"Sí")</f>
        <v>Sí</v>
      </c>
    </row>
    <row r="5" customFormat="false" ht="14.25" hidden="false" customHeight="false" outlineLevel="0" collapsed="false">
      <c r="A5" s="18" t="str">
        <f aca="false">IFERROR(MID(D5,1,FIND("|",D5)-1)&amp;"-"&amp;C5,"")</f>
        <v>AICI202112-2-1-1</v>
      </c>
      <c r="B5" s="19" t="n">
        <f aca="false">IFERROR(__xludf.dummyfunction("""COMPUTED_VALUE"""),44841)</f>
        <v>44841</v>
      </c>
      <c r="C5" s="0" t="n">
        <f aca="false">IFERROR(__xludf.dummyfunction("""COMPUTED_VALUE"""),1)</f>
        <v>1</v>
      </c>
      <c r="D5" s="0" t="str">
        <f aca="false">IFERROR(__xludf.dummyfunction("""COMPUTED_VALUE"""),"AICI202112-2-1| Retroalimentar a los supervisores de contrato mediante correo electrónico la responsabilidad que asumen a la hora de certificar la ejecucion de los contratos... (01/ene/2022 - 30/ago/2022)")</f>
        <v>AICI202112-2-1| Retroalimentar a los supervisores de contrato mediante correo electrónico la responsabilidad que asumen a la hora de certificar la ejecucion de los contratos... (01/ene/2022 - 30/ago/2022)</v>
      </c>
      <c r="E5" s="0" t="str">
        <f aca="false">IFERROR(__xludf.dummyfunction("""COMPUTED_VALUE"""),"La Dirección de Contratación a través de correo electrónico recordó a los supervisores de contrato la responsabilidad en la supervisión en cuanto a los siguientes aspectos: 
* Es importante que previo al proceso de certificación de cumplimiento del contra"&amp;"to para pago de honorarios, se valide que las fechas del informe de ejecución y certificación de cumplimiento estén acorde a las fechas de inicio de ejecución del contrato. Al respecto, se les sugiere tener presente el correo de notificaciones de inicio d"&amp;"e ejecución de contrato que envía la Dirección de Contratación, el cual se envía al contratista con copia al supervisor.
* Validar que cada contratista realice el cargue de los informes de ejecución de contrato con sus soportes (cuenta de cobro), en la pl"&amp;"ataforma SECOP II, dentro de los tres días siguientes al giro de los honorarios.  
")</f>
        <v>La Dirección de Contratación a través de correo electrónico recordó a los supervisores de contrato la responsabilidad en la supervisión en cuanto a los siguientes aspectos: 
* Es importante que previo al proceso de certificación de cumplimiento del contrato para pago de honorarios, se valide que las fechas del informe de ejecución y certificación de cumplimiento estén acorde a las fechas de inicio de ejecución del contrato. Al respecto, se les sugiere tener presente el correo de notificaciones de inicio de ejecución de contrato que envía la Dirección de Contratación, el cual se envía al contratista con copia al supervisor.
* Validar que cada contratista realice el cargue de los informes de ejecución de contrato con sus soportes (cuenta de cobro), en la plataforma SECOP II, dentro de los tres días siguientes al giro de los honorarios.  
</v>
      </c>
      <c r="F5" s="0" t="str">
        <f aca="false">IFERROR(__xludf.dummyfunction("""COMPUTED_VALUE"""),"Completo")</f>
        <v>Completo</v>
      </c>
      <c r="G5" s="0" t="str">
        <f aca="false">IFERROR(__xludf.dummyfunction("""COMPUTED_VALUE"""),"Sí")</f>
        <v>Sí</v>
      </c>
    </row>
    <row r="6" customFormat="false" ht="14.25" hidden="false" customHeight="false" outlineLevel="0" collapsed="false">
      <c r="A6" s="18" t="str">
        <f aca="false">IFERROR(MID(D6,1,FIND("|",D6)-1)&amp;"-"&amp;C6,"")</f>
        <v/>
      </c>
    </row>
    <row r="7" customFormat="false" ht="14.25" hidden="false" customHeight="false" outlineLevel="0" collapsed="false">
      <c r="A7" s="18" t="str">
        <f aca="false">IFERROR(MID(D7,1,FIND("|",D7)-1)&amp;"-"&amp;C7,"")</f>
        <v/>
      </c>
    </row>
    <row r="8" customFormat="false" ht="14.25" hidden="false" customHeight="false" outlineLevel="0" collapsed="false">
      <c r="A8" s="18" t="str">
        <f aca="false">IFERROR(MID(D8,1,FIND("|",D8)-1)&amp;"-"&amp;C8,"")</f>
        <v/>
      </c>
    </row>
    <row r="9" customFormat="false" ht="14.25" hidden="false" customHeight="false" outlineLevel="0" collapsed="false">
      <c r="A9" s="18" t="str">
        <f aca="false">IFERROR(MID(D9,1,FIND("|",D9)-1)&amp;"-"&amp;C9,"")</f>
        <v/>
      </c>
    </row>
    <row r="10" customFormat="false" ht="14.25" hidden="false" customHeight="false" outlineLevel="0" collapsed="false">
      <c r="A10" s="18" t="str">
        <f aca="false">IFERROR(MID(D10,1,FIND("|",D10)-1)&amp;"-"&amp;C10,"")</f>
        <v/>
      </c>
    </row>
    <row r="11" customFormat="false" ht="14.25" hidden="false" customHeight="false" outlineLevel="0" collapsed="false">
      <c r="A11" s="18" t="str">
        <f aca="false">IFERROR(MID(D11,1,FIND("|",D11)-1)&amp;"-"&amp;C11,"")</f>
        <v/>
      </c>
    </row>
    <row r="12" customFormat="false" ht="14.25" hidden="false" customHeight="false" outlineLevel="0" collapsed="false">
      <c r="A12" s="18" t="str">
        <f aca="false">IFERROR(MID(D12,1,FIND("|",D12)-1)&amp;"-"&amp;C12,"")</f>
        <v/>
      </c>
    </row>
    <row r="13" customFormat="false" ht="14.25" hidden="false" customHeight="false" outlineLevel="0" collapsed="false">
      <c r="A13" s="18" t="str">
        <f aca="false">IFERROR(MID(D13,1,FIND("|",D13)-1)&amp;"-"&amp;C13,"")</f>
        <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1813</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AICI202113-2-1-1</v>
      </c>
      <c r="B4" s="19" t="n">
        <f aca="false">IFERROR(__xludf.dummyfunction("""COMPUTED_VALUE"""),44657)</f>
        <v>44657</v>
      </c>
      <c r="C4" s="0" t="n">
        <f aca="false">IFERROR(__xludf.dummyfunction("""COMPUTED_VALUE"""),1)</f>
        <v>1</v>
      </c>
      <c r="D4" s="0" t="str">
        <f aca="false">IFERROR(__xludf.dummyfunction("""COMPUTED_VALUE"""),"AICI202113-2-1| Diseñar un plan conjunto con las ares involucradas en el proceso contable para garantizar los soportes idoneos al momento de … (01/abr/2021 - 30/may/2021)")</f>
        <v>AICI202113-2-1| Diseñar un plan conjunto con las ares involucradas en el proceso contable para garantizar los soportes idoneos al momento de … (01/abr/2021 - 30/may/2021)</v>
      </c>
      <c r="E4" s="0" t="str">
        <f aca="false">IFERROR(__xludf.dummyfunction("""COMPUTED_VALUE"""),"Desde el área contable se remitió a la Dirección Financiera comunicado con los saldos iniciales que aún permanecen registrados contablemente por no tener soportes con los cuales se puedan depurar, se proyecta realizar comité de saneamiento contable en la "&amp;"vigencia 2022 para presentar los expedientes de cada uno de los saldos que no tienen soportes. 
Actualmente en las actas de conciliación que se suscriben con cada una de las áreas que integran el proceso contable, se deja aclaración de que el área que rem"&amp;"ite la información es responsable de la información suministrada y de los soportes idóneos. ")</f>
        <v>Desde el área contable se remitió a la Dirección Financiera comunicado con los saldos iniciales que aún permanecen registrados contablemente por no tener soportes con los cuales se puedan depurar, se proyecta realizar comité de saneamiento contable en la vigencia 2022 para presentar los expedientes de cada uno de los saldos que no tienen soportes. 
Actualmente en las actas de conciliación que se suscriben con cada una de las áreas que integran el proceso contable, se deja aclaración de que el área que remite la información es responsable de la información suministrada y de los soportes idóneos. </v>
      </c>
      <c r="F4" s="0" t="str">
        <f aca="false">IFERROR(__xludf.dummyfunction("""COMPUTED_VALUE"""),"Atrasado")</f>
        <v>Atrasado</v>
      </c>
      <c r="G4" s="0" t="str">
        <f aca="false">IFERROR(__xludf.dummyfunction("""COMPUTED_VALUE"""),"No")</f>
        <v>No</v>
      </c>
    </row>
    <row r="5" customFormat="false" ht="14.25" hidden="false" customHeight="false" outlineLevel="0" collapsed="false">
      <c r="A5" s="18" t="str">
        <f aca="false">IFERROR(MID(D5,1,FIND("|",D5)-1)&amp;"-"&amp;C5,"")</f>
        <v>AICI202113-3-1-1</v>
      </c>
      <c r="B5" s="19" t="n">
        <f aca="false">IFERROR(__xludf.dummyfunction("""COMPUTED_VALUE"""),44657)</f>
        <v>44657</v>
      </c>
      <c r="C5" s="0" t="n">
        <f aca="false">IFERROR(__xludf.dummyfunction("""COMPUTED_VALUE"""),1)</f>
        <v>1</v>
      </c>
      <c r="D5" s="0" t="str">
        <f aca="false">IFERROR(__xludf.dummyfunction("""COMPUTED_VALUE"""),"AICI202113-3-1| El deterioro se incremento debido a que se dio un cambio de metodología en el calculo deteriorando al 100% la cartera &gt; 720 … (01/abr/2021 - 31/dic/2021)")</f>
        <v>AICI202113-3-1| El deterioro se incremento debido a que se dio un cambio de metodología en el calculo deteriorando al 100% la cartera &gt; 720 … (01/abr/2021 - 31/dic/2021)</v>
      </c>
      <c r="E5" s="0" t="str">
        <f aca="false">IFERROR(__xludf.dummyfunction("""COMPUTED_VALUE"""),"Con corte a diciembre de 2021, el deterioro cerró por valor de $215,405,883,528.20, el cual se incrementó debido a la metodología en el cálculo deteriorando al 100% la cartera &gt; 720 días de las entidades en vigilancia especial ante la Superintendencia, ad"&amp;"icional de las liquidaciones  generadas, por ello el deterioro se atribuye a falla en el sistema de Salud. 
El área de cartera manifiesta que continua aplicando las etapas de gestión contempladas en el Manual de Ingresos  y se cuenta con un plan de acción"&amp;" que busca la recuperación de la cartera. 
Por otro lado, además de garantizar el recaudo, el proceso de cartera busca la recuperación del total de entidades a través de la gestión.")</f>
        <v>Con corte a diciembre de 2021, el deterioro cerró por valor de $215,405,883,528.20, el cual se incrementó debido a la metodología en el cálculo deteriorando al 100% la cartera &gt; 720 días de las entidades en vigilancia especial ante la Superintendencia, adicional de las liquidaciones  generadas, por ello el deterioro se atribuye a falla en el sistema de Salud. 
El área de cartera manifiesta que continua aplicando las etapas de gestión contempladas en el Manual de Ingresos  y se cuenta con un plan de acción que busca la recuperación de la cartera. 
Por otro lado, además de garantizar el recaudo, el proceso de cartera busca la recuperación del total de entidades a través de la gestión.</v>
      </c>
      <c r="F5" s="0" t="str">
        <f aca="false">IFERROR(__xludf.dummyfunction("""COMPUTED_VALUE"""),"Atrasado")</f>
        <v>Atrasado</v>
      </c>
      <c r="G5" s="0" t="str">
        <f aca="false">IFERROR(__xludf.dummyfunction("""COMPUTED_VALUE"""),"No")</f>
        <v>No</v>
      </c>
    </row>
    <row r="6" customFormat="false" ht="14.25" hidden="false" customHeight="false" outlineLevel="0" collapsed="false">
      <c r="A6" s="18" t="str">
        <f aca="false">IFERROR(MID(D6,1,FIND("|",D6)-1)&amp;"-"&amp;C6,"")</f>
        <v>AICI202113-4-1-1</v>
      </c>
      <c r="B6" s="19" t="n">
        <f aca="false">IFERROR(__xludf.dummyfunction("""COMPUTED_VALUE"""),44657)</f>
        <v>44657</v>
      </c>
      <c r="C6" s="0" t="n">
        <f aca="false">IFERROR(__xludf.dummyfunction("""COMPUTED_VALUE"""),1)</f>
        <v>1</v>
      </c>
      <c r="D6" s="0" t="str">
        <f aca="false">IFERROR(__xludf.dummyfunction("""COMPUTED_VALUE"""),"AICI202113-4-1| Generar una politica de descuento con los proveedores (01/abr/2021 - 30/jun/2021)")</f>
        <v>AICI202113-4-1| Generar una politica de descuento con los proveedores (01/abr/2021 - 30/jun/2021)</v>
      </c>
      <c r="E6" s="0" t="str">
        <f aca="false">IFERROR(__xludf.dummyfunction("""COMPUTED_VALUE"""),"A la fecha no se ha definido una estrategia adecuada. Se busca que los descuentos que se ofrezcan en la etapa pre-contractual, quedan dentro de la minuta del contrato, y el área de contratación posteriormente enviara una base de datos a cuentas por pagar "&amp;"y tesorería para dar cumplimiento a dichos descuentos pactados.")</f>
        <v>A la fecha no se ha definido una estrategia adecuada. Se busca que los descuentos que se ofrezcan en la etapa pre-contractual, quedan dentro de la minuta del contrato, y el área de contratación posteriormente enviara una base de datos a cuentas por pagar y tesorería para dar cumplimiento a dichos descuentos pactados.</v>
      </c>
      <c r="F6" s="0" t="str">
        <f aca="false">IFERROR(__xludf.dummyfunction("""COMPUTED_VALUE"""),"Atrasado")</f>
        <v>Atrasado</v>
      </c>
      <c r="G6" s="0" t="str">
        <f aca="false">IFERROR(__xludf.dummyfunction("""COMPUTED_VALUE"""),"No")</f>
        <v>No</v>
      </c>
    </row>
    <row r="7" customFormat="false" ht="14.25" hidden="false" customHeight="false" outlineLevel="0" collapsed="false">
      <c r="A7" s="18" t="str">
        <f aca="false">IFERROR(MID(D7,1,FIND("|",D7)-1)&amp;"-"&amp;C7,"")</f>
        <v>AICI202113-5-1-1</v>
      </c>
      <c r="B7" s="19" t="n">
        <f aca="false">IFERROR(__xludf.dummyfunction("""COMPUTED_VALUE"""),44657)</f>
        <v>44657</v>
      </c>
      <c r="C7" s="0" t="n">
        <f aca="false">IFERROR(__xludf.dummyfunction("""COMPUTED_VALUE"""),1)</f>
        <v>1</v>
      </c>
      <c r="D7" s="0" t="str">
        <f aca="false">IFERROR(__xludf.dummyfunction("""COMPUTED_VALUE"""),"AICI202113-5-1| Coordinar con el area de Talento Humano plan de capacitacion donde se incluya al personal de contabilidad (01/abr/2021 - 30/jun/2021)")</f>
        <v>AICI202113-5-1| Coordinar con el area de Talento Humano plan de capacitacion donde se incluya al personal de contabilidad (01/abr/2021 - 30/jun/2021)</v>
      </c>
      <c r="E7" s="0" t="str">
        <f aca="false">IFERROR(__xludf.dummyfunction("""COMPUTED_VALUE"""),"Se remitió oficio a la Dirección de Talento humano, solicitando inclusión en el Plan Institucional de Capacitación, capacitaciones que contribuyan  al desarrollo de competencias, habilidades y actualización permanente de todo el personal involucrado en el"&amp;" proceso contable. Se anexa oficio. Hasta el momento el personal involucrado en el proceso contable no ha recibido capacitaciones que contribuyan al desarrollo y actualización de competencias. ")</f>
        <v>Se remitió oficio a la Dirección de Talento humano, solicitando inclusión en el Plan Institucional de Capacitación, capacitaciones que contribuyan  al desarrollo de competencias, habilidades y actualización permanente de todo el personal involucrado en el proceso contable. Se anexa oficio. Hasta el momento el personal involucrado en el proceso contable no ha recibido capacitaciones que contribuyan al desarrollo y actualización de competencias. </v>
      </c>
      <c r="F7" s="0" t="str">
        <f aca="false">IFERROR(__xludf.dummyfunction("""COMPUTED_VALUE"""),"Atrasado")</f>
        <v>Atrasado</v>
      </c>
      <c r="G7" s="0" t="str">
        <f aca="false">IFERROR(__xludf.dummyfunction("""COMPUTED_VALUE"""),"No")</f>
        <v>No</v>
      </c>
    </row>
    <row r="8" customFormat="false" ht="14.25" hidden="false" customHeight="false" outlineLevel="0" collapsed="false">
      <c r="A8" s="18" t="str">
        <f aca="false">IFERROR(MID(D8,1,FIND("|",D8)-1)&amp;"-"&amp;C8,"")</f>
        <v>AICI202113-6-1-1</v>
      </c>
      <c r="B8" s="19" t="n">
        <f aca="false">IFERROR(__xludf.dummyfunction("""COMPUTED_VALUE"""),44657)</f>
        <v>44657</v>
      </c>
      <c r="C8" s="0" t="n">
        <f aca="false">IFERROR(__xludf.dummyfunction("""COMPUTED_VALUE"""),1)</f>
        <v>1</v>
      </c>
      <c r="D8" s="0" t="str">
        <f aca="false">IFERROR(__xludf.dummyfunction("""COMPUTED_VALUE"""),"AICI202113-6-1| Actualizar el instructivo del proceso de incapacidades incluyendo estrategias de recuperacion de estos recursos (01/abr/2021 - 31/dic/2021)")</f>
        <v>AICI202113-6-1| Actualizar el instructivo del proceso de incapacidades incluyendo estrategias de recuperacion de estos recursos (01/abr/2021 - 31/dic/2021)</v>
      </c>
      <c r="E8" s="0" t="str">
        <f aca="false">IFERROR(__xludf.dummyfunction("""COMPUTED_VALUE"""),"Se incluyo en control documental el instructivo de Incapacidades, con el código CÓDIGO: AP-TH-I-24-03, versión 3, con fecha 16/09/2021; y con fecha Febrero 8 de 2022, se incluyo en control documental el formato Registro de Incapacidades con el código AP-T"&amp;"H-F-116-01. Se debe hacer seguimiento a su aplicación y efectividad.")</f>
        <v>Se incluyo en control documental el instructivo de Incapacidades, con el código CÓDIGO: AP-TH-I-24-03, versión 3, con fecha 16/09/2021; y con fecha Febrero 8 de 2022, se incluyo en control documental el formato Registro de Incapacidades con el código AP-TH-F-116-01. Se debe hacer seguimiento a su aplicación y efectividad.</v>
      </c>
      <c r="F8" s="0" t="str">
        <f aca="false">IFERROR(__xludf.dummyfunction("""COMPUTED_VALUE"""),"Completo")</f>
        <v>Completo</v>
      </c>
      <c r="G8" s="0" t="str">
        <f aca="false">IFERROR(__xludf.dummyfunction("""COMPUTED_VALUE"""),"No")</f>
        <v>No</v>
      </c>
    </row>
    <row r="9" customFormat="false" ht="14.25" hidden="false" customHeight="false" outlineLevel="0" collapsed="false">
      <c r="A9" s="18" t="str">
        <f aca="false">IFERROR(MID(D9,1,FIND("|",D9)-1)&amp;"-"&amp;C9,"")</f>
        <v>AICI202113-7-1-1</v>
      </c>
      <c r="B9" s="19" t="n">
        <f aca="false">IFERROR(__xludf.dummyfunction("""COMPUTED_VALUE"""),44657)</f>
        <v>44657</v>
      </c>
      <c r="C9" s="0" t="n">
        <f aca="false">IFERROR(__xludf.dummyfunction("""COMPUTED_VALUE"""),1)</f>
        <v>1</v>
      </c>
      <c r="D9" s="0" t="str">
        <f aca="false">IFERROR(__xludf.dummyfunction("""COMPUTED_VALUE"""),"AICI202113-7-1| Crear mesas de trabajo con las areas involucradas en el proceso contable con el fin de actualizar el manual de politicas contables (01/abr/2021 - 01/jun/2021)")</f>
        <v>AICI202113-7-1| Crear mesas de trabajo con las areas involucradas en el proceso contable con el fin de actualizar el manual de politicas contables (01/abr/2021 - 01/jun/2021)</v>
      </c>
      <c r="E9" s="0" t="str">
        <f aca="false">IFERROR(__xludf.dummyfunction("""COMPUTED_VALUE"""),"El manual de Políticas contables no se ha actualizado. Se remitió correo a la Dirección Financiera con la solicitud de contratación de una persona que retome el proceso de actualización del Manual de Políticas Contables, adelantado en la vigencia 2019, qu"&amp;"e lo socialice nuevamente en las áreas, finalice el proceso y lo presente a la Junta Directiva para aprobación.
Se anexa copia del correo")</f>
        <v>El manual de Políticas contables no se ha actualizado. Se remitió correo a la Dirección Financiera con la solicitud de contratación de una persona que retome el proceso de actualización del Manual de Políticas Contables, adelantado en la vigencia 2019, que lo socialice nuevamente en las áreas, finalice el proceso y lo presente a la Junta Directiva para aprobación.
Se anexa copia del correo</v>
      </c>
      <c r="F9" s="0" t="str">
        <f aca="false">IFERROR(__xludf.dummyfunction("""COMPUTED_VALUE"""),"Atrasado")</f>
        <v>Atrasado</v>
      </c>
      <c r="G9" s="0" t="str">
        <f aca="false">IFERROR(__xludf.dummyfunction("""COMPUTED_VALUE"""),"No")</f>
        <v>No</v>
      </c>
    </row>
    <row r="10" customFormat="false" ht="14.25" hidden="false" customHeight="false" outlineLevel="0" collapsed="false">
      <c r="A10" s="18" t="str">
        <f aca="false">IFERROR(MID(D10,1,FIND("|",D10)-1)&amp;"-"&amp;C10,"")</f>
        <v>AICI202113-8-1-1</v>
      </c>
      <c r="B10" s="19" t="n">
        <f aca="false">IFERROR(__xludf.dummyfunction("""COMPUTED_VALUE"""),44657)</f>
        <v>44657</v>
      </c>
      <c r="C10" s="0" t="n">
        <f aca="false">IFERROR(__xludf.dummyfunction("""COMPUTED_VALUE"""),1)</f>
        <v>1</v>
      </c>
      <c r="D10" s="0" t="str">
        <f aca="false">IFERROR(__xludf.dummyfunction("""COMPUTED_VALUE"""),"AICI202113-8-1| Diseñar un plan conjunto con las ares involucradas en el proceso contable para garantizar los soportes idoneos al momento de …8 (01/abr/2021 - 30/may/2021)")</f>
        <v>AICI202113-8-1| Diseñar un plan conjunto con las ares involucradas en el proceso contable para garantizar los soportes idoneos al momento de …8 (01/abr/2021 - 30/may/2021)</v>
      </c>
      <c r="E10" s="0" t="str">
        <f aca="false">IFERROR(__xludf.dummyfunction("""COMPUTED_VALUE"""),"Actualmente en las actas de conciliación que se suscriben con cada una de las áreas que integran el proceso contable, se deja aclaración de que el área que remite la información es responsable de la información suministrada y de los soportes idóneos. Cont"&amp;"abilidad implementará un control adicional para realizar una revisión selectiva de los soportes de los registros realizados mensualmente. ")</f>
        <v>Actualmente en las actas de conciliación que se suscriben con cada una de las áreas que integran el proceso contable, se deja aclaración de que el área que remite la información es responsable de la información suministrada y de los soportes idóneos. Contabilidad implementará un control adicional para realizar una revisión selectiva de los soportes de los registros realizados mensualmente. </v>
      </c>
      <c r="F10" s="0" t="str">
        <f aca="false">IFERROR(__xludf.dummyfunction("""COMPUTED_VALUE"""),"Completo")</f>
        <v>Completo</v>
      </c>
      <c r="G10" s="0" t="str">
        <f aca="false">IFERROR(__xludf.dummyfunction("""COMPUTED_VALUE"""),"Sí")</f>
        <v>Sí</v>
      </c>
    </row>
    <row r="11" customFormat="false" ht="14.25" hidden="false" customHeight="false" outlineLevel="0" collapsed="false">
      <c r="A11" s="18" t="str">
        <f aca="false">IFERROR(MID(D11,1,FIND("|",D11)-1)&amp;"-"&amp;C11,"")</f>
        <v>AICI202113-9-1-1</v>
      </c>
      <c r="B11" s="19" t="n">
        <f aca="false">IFERROR(__xludf.dummyfunction("""COMPUTED_VALUE"""),44657)</f>
        <v>44657</v>
      </c>
      <c r="C11" s="0" t="n">
        <f aca="false">IFERROR(__xludf.dummyfunction("""COMPUTED_VALUE"""),1)</f>
        <v>1</v>
      </c>
      <c r="D11" s="0" t="str">
        <f aca="false">IFERROR(__xludf.dummyfunction("""COMPUTED_VALUE"""),"AICI202113-9-1| Garantizar el correcto funcionamiento del sistema de informacion integral Clinical Suite mediante contrato de mantenimiento …9 (01/abr/2021 - 31/dic/2021)")</f>
        <v>AICI202113-9-1| Garantizar el correcto funcionamiento del sistema de informacion integral Clinical Suite mediante contrato de mantenimiento …9 (01/abr/2021 - 31/dic/2021)</v>
      </c>
      <c r="E11" s="0" t="str">
        <f aca="false">IFERROR(__xludf.dummyfunction("""COMPUTED_VALUE"""),"El sistema de información Servinte, continúa presentando debilidades, por lo cual se producen retrasos y reprocesos a la hora de analizar las cuentas del balance. Se presentaron caídas en el sistema originando retrasos en la transmisión de la información."&amp;" Para el proceso de nómina se implemento el sistema Sinergy, que igualmente presenta inconveniente en los procesos de cálculo de provisiones, lo cual se ha venido ajustando contablemente. Para costos no se han presentado modificaciones")</f>
        <v>El sistema de información Servinte, continúa presentando debilidades, por lo cual se producen retrasos y reprocesos a la hora de analizar las cuentas del balance. Se presentaron caídas en el sistema originando retrasos en la transmisión de la información. Para el proceso de nómina se implemento el sistema Sinergy, que igualmente presenta inconveniente en los procesos de cálculo de provisiones, lo cual se ha venido ajustando contablemente. Para costos no se han presentado modificaciones</v>
      </c>
      <c r="F11" s="0" t="str">
        <f aca="false">IFERROR(__xludf.dummyfunction("""COMPUTED_VALUE"""),"Atrasado")</f>
        <v>Atrasado</v>
      </c>
      <c r="G11" s="0" t="str">
        <f aca="false">IFERROR(__xludf.dummyfunction("""COMPUTED_VALUE"""),"No")</f>
        <v>No</v>
      </c>
    </row>
    <row r="12" customFormat="false" ht="14.25" hidden="false" customHeight="false" outlineLevel="0" collapsed="false">
      <c r="A12" s="18" t="str">
        <f aca="false">IFERROR(MID(D12,1,FIND("|",D12)-1)&amp;"-"&amp;C12,"")</f>
        <v>AICI202113-1-1-1</v>
      </c>
      <c r="B12" s="19" t="n">
        <f aca="false">IFERROR(__xludf.dummyfunction("""COMPUTED_VALUE"""),44657)</f>
        <v>44657</v>
      </c>
      <c r="C12" s="0" t="n">
        <f aca="false">IFERROR(__xludf.dummyfunction("""COMPUTED_VALUE"""),1)</f>
        <v>1</v>
      </c>
      <c r="D12" s="0" t="str">
        <f aca="false">IFERROR(__xludf.dummyfunction("""COMPUTED_VALUE"""),"AICI202113-1-1| Garantizar el correcto funcionamiento del sistema de informacion integral Clinical Suite mediante contrato de mantenimiento … (01/abr/2021 - 31/dic/2021)")</f>
        <v>AICI202113-1-1| Garantizar el correcto funcionamiento del sistema de informacion integral Clinical Suite mediante contrato de mantenimiento … (01/abr/2021 - 31/dic/2021)</v>
      </c>
      <c r="E12" s="0" t="str">
        <f aca="false">IFERROR(__xludf.dummyfunction("""COMPUTED_VALUE"""),"La acción propuesta no se ha evidenciado, teniendo en cuenta que el sistema de información continúa presentando debilidades en el desarrollo de los procesos. El área de contabilidad, todos los meses remite correos a la Ingeniera Janeth Herrera, Profesiona"&amp;"l de Sistemas,  solicitando la corrección de errores del sistema de información en el momento de las interfaces con cada una de las áreas involucradas en el proceso contable. Se ajuntan copia de los correos remitidos.
Se remite oficio al área de sistemas,"&amp;" con el planteamiento de las inconsistencias presentadas durante los últimos meses en el proceso de interfaces de las diferentes áreas con el módulo de contabilidad en el aplicativo SERVINTE.")</f>
        <v>La acción propuesta no se ha evidenciado, teniendo en cuenta que el sistema de información continúa presentando debilidades en el desarrollo de los procesos. El área de contabilidad, todos los meses remite correos a la Ingeniera Janeth Herrera, Profesional de Sistemas,  solicitando la corrección de errores del sistema de información en el momento de las interfaces con cada una de las áreas involucradas en el proceso contable. Se ajuntan copia de los correos remitidos.
Se remite oficio al área de sistemas, con el planteamiento de las inconsistencias presentadas durante los últimos meses en el proceso de interfaces de las diferentes áreas con el módulo de contabilidad en el aplicativo SERVINTE.</v>
      </c>
      <c r="F12" s="0" t="str">
        <f aca="false">IFERROR(__xludf.dummyfunction("""COMPUTED_VALUE"""),"Atrasado")</f>
        <v>Atrasado</v>
      </c>
      <c r="G12" s="0" t="str">
        <f aca="false">IFERROR(__xludf.dummyfunction("""COMPUTED_VALUE"""),"No")</f>
        <v>No</v>
      </c>
    </row>
    <row r="13" customFormat="false" ht="14.25" hidden="false" customHeight="false" outlineLevel="0" collapsed="false">
      <c r="A13" s="18" t="str">
        <f aca="false">IFERROR(MID(D13,1,FIND("|",D13)-1)&amp;"-"&amp;C13,"")</f>
        <v>AICI202113-2-1-2</v>
      </c>
      <c r="B13" s="19" t="n">
        <f aca="false">IFERROR(__xludf.dummyfunction("""COMPUTED_VALUE"""),44750)</f>
        <v>44750</v>
      </c>
      <c r="C13" s="0" t="n">
        <f aca="false">IFERROR(__xludf.dummyfunction("""COMPUTED_VALUE"""),2)</f>
        <v>2</v>
      </c>
      <c r="D13" s="0" t="str">
        <f aca="false">IFERROR(__xludf.dummyfunction("""COMPUTED_VALUE"""),"AICI202113-2-1| Diseñar un plan conjunto con las ares involucradas en el proceso contable para garantizar los soportes idoneos al momento de … (01/abr/2021 - 30/may/2021)")</f>
        <v>AICI202113-2-1| Diseñar un plan conjunto con las ares involucradas en el proceso contable para garantizar los soportes idoneos al momento de … (01/abr/2021 - 30/may/2021)</v>
      </c>
      <c r="E13" s="0" t="str">
        <f aca="false">IFERROR(__xludf.dummyfunction("""COMPUTED_VALUE"""),"El 13 de Mayo se solicitó concepto jurídico a la oficina asesora de la subred, para lo cual se anexan a los expedientes de cada uno de los terceros que aún permanecen con saldos para llevarlo a comité de saneamiento contable  el valor total de saldos asci"&amp;"ende a $365.348.840")</f>
        <v>El 13 de Mayo se solicitó concepto jurídico a la oficina asesora de la subred, para lo cual se anexan a los expedientes de cada uno de los terceros que aún permanecen con saldos para llevarlo a comité de saneamiento contable  el valor total de saldos asciende a $365.348.840</v>
      </c>
      <c r="F13" s="0" t="str">
        <f aca="false">IFERROR(__xludf.dummyfunction("""COMPUTED_VALUE"""),"Atrasado")</f>
        <v>Atrasado</v>
      </c>
      <c r="G13" s="0" t="str">
        <f aca="false">IFERROR(__xludf.dummyfunction("""COMPUTED_VALUE"""),"No")</f>
        <v>No</v>
      </c>
    </row>
    <row r="14" customFormat="false" ht="14.25" hidden="false" customHeight="false" outlineLevel="0" collapsed="false">
      <c r="A14" s="18" t="str">
        <f aca="false">IFERROR(MID(D14,1,FIND("|",D14)-1)&amp;"-"&amp;C14,"")</f>
        <v>AICI202113-3-1-2</v>
      </c>
      <c r="B14" s="19" t="n">
        <f aca="false">IFERROR(__xludf.dummyfunction("""COMPUTED_VALUE"""),44750)</f>
        <v>44750</v>
      </c>
      <c r="C14" s="0" t="n">
        <f aca="false">IFERROR(__xludf.dummyfunction("""COMPUTED_VALUE"""),2)</f>
        <v>2</v>
      </c>
      <c r="D14" s="0" t="str">
        <f aca="false">IFERROR(__xludf.dummyfunction("""COMPUTED_VALUE"""),"AICI202113-3-1| El deterioro se incremento debido a que se dio un cambio de metodología en el calculo deteriorando al 100% la cartera &gt; 720 … (01/abr/2021 - 31/dic/2021)")</f>
        <v>AICI202113-3-1| El deterioro se incremento debido a que se dio un cambio de metodología en el calculo deteriorando al 100% la cartera &gt; 720 … (01/abr/2021 - 31/dic/2021)</v>
      </c>
      <c r="E14" s="0" t="str">
        <f aca="false">IFERROR(__xludf.dummyfunction("""COMPUTED_VALUE"""),"Se evidencia que a mayo de 2022, el deterioro cerró por valor de $228,987,618,943.51 el cual se incrementó debido a la metodología en el cálculo deteriorando al 100% la cartera &gt; 720 días de las entidades en vigilancia especial ante la Superintendencia, a"&amp;"dicional de las liquidaciones  generadas, por ello el deterioro se atribuye a falla en el sistema de Salud.
 Desde el Área de Cartera y Cuentas Médicas se continua aplicando toda la gestión de cobro tanto persuasivo como coactivo contempladas en el Manual"&amp;" de Gestión del Ingreso de la Subred Norte E.S.E, no obstante, es importante mencionar que existen saldos que no pueden ser susceptibles de depuración ya que las entidades aún existen jurídicamente como es el caso de las entidades en liquidación, a las cu"&amp;"ales se les realiza la presentación de acreencias de acuerdo a los tiempos y forma de los avisos emplazatorios, dicha cartera  no pueden ser presentados para saneamiento o depuración hasta tanto se termine el proceso de liquidación y se reconozcan las acr"&amp;"eencias, cabe aclarar que estas entidades se encuentran deterioras al 100%.")</f>
        <v>Se evidencia que a mayo de 2022, el deterioro cerró por valor de $228,987,618,943.51 el cual se incrementó debido a la metodología en el cálculo deteriorando al 100% la cartera &gt; 720 días de las entidades en vigilancia especial ante la Superintendencia, adicional de las liquidaciones  generadas, por ello el deterioro se atribuye a falla en el sistema de Salud.
 Desde el Área de Cartera y Cuentas Médicas se continua aplicando toda la gestión de cobro tanto persuasivo como coactivo contempladas en el Manual de Gestión del Ingreso de la Subred Norte E.S.E, no obstante, es importante mencionar que existen saldos que no pueden ser susceptibles de depuración ya que las entidades aún existen jurídicamente como es el caso de las entidades en liquidación, a las cuales se les realiza la presentación de acreencias de acuerdo a los tiempos y forma de los avisos emplazatorios, dicha cartera  no pueden ser presentados para saneamiento o depuración hasta tanto se termine el proceso de liquidación y se reconozcan las acreencias, cabe aclarar que estas entidades se encuentran deterioras al 100%.</v>
      </c>
      <c r="F14" s="0" t="str">
        <f aca="false">IFERROR(__xludf.dummyfunction("""COMPUTED_VALUE"""),"Atrasado")</f>
        <v>Atrasado</v>
      </c>
      <c r="G14" s="0" t="str">
        <f aca="false">IFERROR(__xludf.dummyfunction("""COMPUTED_VALUE"""),"No")</f>
        <v>No</v>
      </c>
    </row>
    <row r="15" customFormat="false" ht="14.25" hidden="false" customHeight="false" outlineLevel="0" collapsed="false">
      <c r="A15" s="18" t="str">
        <f aca="false">IFERROR(MID(D15,1,FIND("|",D15)-1)&amp;"-"&amp;C15,"")</f>
        <v>AICI202113-4-1-2</v>
      </c>
      <c r="B15" s="19" t="n">
        <f aca="false">IFERROR(__xludf.dummyfunction("""COMPUTED_VALUE"""),44750)</f>
        <v>44750</v>
      </c>
      <c r="C15" s="0" t="n">
        <f aca="false">IFERROR(__xludf.dummyfunction("""COMPUTED_VALUE"""),2)</f>
        <v>2</v>
      </c>
      <c r="D15" s="0" t="str">
        <f aca="false">IFERROR(__xludf.dummyfunction("""COMPUTED_VALUE"""),"AICI202113-4-1| Generar una politica de descuento con los proveedores (01/abr/2021 - 30/jun/2021)")</f>
        <v>AICI202113-4-1| Generar una politica de descuento con los proveedores (01/abr/2021 - 30/jun/2021)</v>
      </c>
      <c r="E15" s="0" t="str">
        <f aca="false">IFERROR(__xludf.dummyfunction("""COMPUTED_VALUE"""),"Junto con el área de Tesorería se desarrolla una policita de descuento la cual se encuentra en proceso de revisión y aprobación por parte de las áreas involucradas con el fin de verificar la aplicación de la misma en la contratación. ( se anexa borrador d"&amp;"e la propuesta)")</f>
        <v>Junto con el área de Tesorería se desarrolla una policita de descuento la cual se encuentra en proceso de revisión y aprobación por parte de las áreas involucradas con el fin de verificar la aplicación de la misma en la contratación. ( se anexa borrador de la propuesta)</v>
      </c>
      <c r="F15" s="0" t="str">
        <f aca="false">IFERROR(__xludf.dummyfunction("""COMPUTED_VALUE"""),"Atrasado")</f>
        <v>Atrasado</v>
      </c>
      <c r="G15" s="0" t="str">
        <f aca="false">IFERROR(__xludf.dummyfunction("""COMPUTED_VALUE"""),"No")</f>
        <v>No</v>
      </c>
    </row>
    <row r="16" customFormat="false" ht="14.25" hidden="false" customHeight="false" outlineLevel="0" collapsed="false">
      <c r="A16" s="18" t="str">
        <f aca="false">IFERROR(MID(D16,1,FIND("|",D16)-1)&amp;"-"&amp;C16,"")</f>
        <v>AICI202113-5-1-2</v>
      </c>
      <c r="B16" s="19" t="n">
        <f aca="false">IFERROR(__xludf.dummyfunction("""COMPUTED_VALUE"""),44750)</f>
        <v>44750</v>
      </c>
      <c r="C16" s="0" t="n">
        <f aca="false">IFERROR(__xludf.dummyfunction("""COMPUTED_VALUE"""),2)</f>
        <v>2</v>
      </c>
      <c r="D16" s="0" t="str">
        <f aca="false">IFERROR(__xludf.dummyfunction("""COMPUTED_VALUE"""),"AICI202113-5-1| Coordinar con el area de Talento Humano plan de capacitacion donde se incluya al personal de contabilidad (01/abr/2021 - 30/jun/2021)")</f>
        <v>AICI202113-5-1| Coordinar con el area de Talento Humano plan de capacitacion donde se incluya al personal de contabilidad (01/abr/2021 - 30/jun/2021)</v>
      </c>
      <c r="E16" s="0" t="str">
        <f aca="false">IFERROR(__xludf.dummyfunction("""COMPUTED_VALUE"""),"Se tiene el soporte de la solicitud de capacitación realizada por contabilidad a talento humano sin embargo según conversación con   talento humano  informan que como el PIC se programo a comienzo de año no se tuvo en cuenta,  adicionalmente  se esta real"&amp;"izando la actualización del PIC para  lograr realizar esta capacitación en el segundo semestre de 2022")</f>
        <v>Se tiene el soporte de la solicitud de capacitación realizada por contabilidad a talento humano sin embargo según conversación con   talento humano  informan que como el PIC se programo a comienzo de año no se tuvo en cuenta,  adicionalmente  se esta realizando la actualización del PIC para  lograr realizar esta capacitación en el segundo semestre de 2022</v>
      </c>
      <c r="F16" s="0" t="str">
        <f aca="false">IFERROR(__xludf.dummyfunction("""COMPUTED_VALUE"""),"Atrasado")</f>
        <v>Atrasado</v>
      </c>
      <c r="G16" s="0" t="str">
        <f aca="false">IFERROR(__xludf.dummyfunction("""COMPUTED_VALUE"""),"No")</f>
        <v>No</v>
      </c>
    </row>
    <row r="17" customFormat="false" ht="14.25" hidden="false" customHeight="false" outlineLevel="0" collapsed="false">
      <c r="A17" s="18" t="str">
        <f aca="false">IFERROR(MID(D17,1,FIND("|",D17)-1)&amp;"-"&amp;C17,"")</f>
        <v>AICI202113-7-1-2</v>
      </c>
      <c r="B17" s="19" t="n">
        <f aca="false">IFERROR(__xludf.dummyfunction("""COMPUTED_VALUE"""),44750)</f>
        <v>44750</v>
      </c>
      <c r="C17" s="0" t="n">
        <f aca="false">IFERROR(__xludf.dummyfunction("""COMPUTED_VALUE"""),2)</f>
        <v>2</v>
      </c>
      <c r="D17" s="0" t="str">
        <f aca="false">IFERROR(__xludf.dummyfunction("""COMPUTED_VALUE"""),"AICI202113-7-1| Crear mesas de trabajo con las areas involucradas en el proceso contable con el fin de actualizar el manual de politicas contables (01/abr/2021 - 01/jun/2021)")</f>
        <v>AICI202113-7-1| Crear mesas de trabajo con las areas involucradas en el proceso contable con el fin de actualizar el manual de politicas contables (01/abr/2021 - 01/jun/2021)</v>
      </c>
      <c r="E17" s="0" t="str">
        <f aca="false">IFERROR(__xludf.dummyfunction("""COMPUTED_VALUE"""),"Se remitió correo al Jefe encargado de Talento Humano para reiteración de la solicitud presentada del personal requerido para actualización de las políticas contables,La dirección de Talento humano  manifestó que revisarán la planta de personal que cumpla"&amp;" con los requisitos necesarios. ")</f>
        <v>Se remitió correo al Jefe encargado de Talento Humano para reiteración de la solicitud presentada del personal requerido para actualización de las políticas contables,La dirección de Talento humano  manifestó que revisarán la planta de personal que cumpla con los requisitos necesarios. </v>
      </c>
      <c r="F17" s="0" t="str">
        <f aca="false">IFERROR(__xludf.dummyfunction("""COMPUTED_VALUE"""),"Atrasado")</f>
        <v>Atrasado</v>
      </c>
      <c r="G17" s="0" t="str">
        <f aca="false">IFERROR(__xludf.dummyfunction("""COMPUTED_VALUE"""),"No")</f>
        <v>No</v>
      </c>
    </row>
    <row r="18" customFormat="false" ht="14.25" hidden="false" customHeight="false" outlineLevel="0" collapsed="false">
      <c r="A18" s="18" t="str">
        <f aca="false">IFERROR(MID(D18,1,FIND("|",D18)-1)&amp;"-"&amp;C18,"")</f>
        <v>AICI202113-1-1-2</v>
      </c>
      <c r="B18" s="19" t="n">
        <f aca="false">IFERROR(__xludf.dummyfunction("""COMPUTED_VALUE"""),44750)</f>
        <v>44750</v>
      </c>
      <c r="C18" s="0" t="n">
        <f aca="false">IFERROR(__xludf.dummyfunction("""COMPUTED_VALUE"""),2)</f>
        <v>2</v>
      </c>
      <c r="D18" s="0" t="str">
        <f aca="false">IFERROR(__xludf.dummyfunction("""COMPUTED_VALUE"""),"AICI202113-1-1| Garantizar el correcto funcionamiento del sistema de informacion integral Clinical Suite mediante contrato de mantenimiento … (01/abr/2021 - 31/dic/2021)")</f>
        <v>AICI202113-1-1| Garantizar el correcto funcionamiento del sistema de informacion integral Clinical Suite mediante contrato de mantenimiento … (01/abr/2021 - 31/dic/2021)</v>
      </c>
      <c r="E18" s="0" t="str">
        <f aca="false">IFERROR(__xludf.dummyfunction("""COMPUTED_VALUE"""),"No se recibió información sobre avances sobre esta acción por este motivo se mantiene en estado atrasado")</f>
        <v>No se recibió información sobre avances sobre esta acción por este motivo se mantiene en estado atrasado</v>
      </c>
      <c r="F18" s="0" t="str">
        <f aca="false">IFERROR(__xludf.dummyfunction("""COMPUTED_VALUE"""),"Atrasado")</f>
        <v>Atrasado</v>
      </c>
    </row>
    <row r="19" customFormat="false" ht="14.25" hidden="false" customHeight="false" outlineLevel="0" collapsed="false">
      <c r="A19" s="18" t="str">
        <f aca="false">IFERROR(MID(D19,1,FIND("|",D19)-1)&amp;"-"&amp;C19,"")</f>
        <v>AICI202113-9-1-2</v>
      </c>
      <c r="B19" s="19" t="n">
        <f aca="false">IFERROR(__xludf.dummyfunction("""COMPUTED_VALUE"""),44750)</f>
        <v>44750</v>
      </c>
      <c r="C19" s="0" t="n">
        <f aca="false">IFERROR(__xludf.dummyfunction("""COMPUTED_VALUE"""),2)</f>
        <v>2</v>
      </c>
      <c r="D19" s="0" t="str">
        <f aca="false">IFERROR(__xludf.dummyfunction("""COMPUTED_VALUE"""),"AICI202113-9-1| Garantizar el correcto funcionamiento del sistema de informacion integral Clinical Suite mediante contrato de mantenimiento …9 (01/abr/2021 - 31/dic/2021)")</f>
        <v>AICI202113-9-1| Garantizar el correcto funcionamiento del sistema de informacion integral Clinical Suite mediante contrato de mantenimiento …9 (01/abr/2021 - 31/dic/2021)</v>
      </c>
      <c r="E19" s="0" t="str">
        <f aca="false">IFERROR(__xludf.dummyfunction("""COMPUTED_VALUE"""),"No se recibió información sobre avances de esta acción por este motivo se mantiene en estado atrasado")</f>
        <v>No se recibió información sobre avances de esta acción por este motivo se mantiene en estado atrasado</v>
      </c>
      <c r="F19" s="0" t="str">
        <f aca="false">IFERROR(__xludf.dummyfunction("""COMPUTED_VALUE"""),"Atrasado")</f>
        <v>Atrasado</v>
      </c>
    </row>
    <row r="20" customFormat="false" ht="14.25" hidden="false" customHeight="false" outlineLevel="0" collapsed="false">
      <c r="A20" s="18" t="str">
        <f aca="false">IFERROR(MID(D20,1,FIND("|",D20)-1)&amp;"-"&amp;C20,"")</f>
        <v>AICI202113-1-1-3</v>
      </c>
      <c r="B20" s="19" t="n">
        <f aca="false">IFERROR(__xludf.dummyfunction("""COMPUTED_VALUE"""),44841)</f>
        <v>44841</v>
      </c>
      <c r="C20" s="0" t="n">
        <f aca="false">IFERROR(__xludf.dummyfunction("""COMPUTED_VALUE"""),3)</f>
        <v>3</v>
      </c>
      <c r="D20" s="0" t="str">
        <f aca="false">IFERROR(__xludf.dummyfunction("""COMPUTED_VALUE"""),"AICI202113-1-1| Garantizar el correcto funcionamiento del sistema de informacion integral Clinical Suite mediante contrato de mantenimiento … (01/abr/2021 - 31/dic/2021)")</f>
        <v>AICI202113-1-1| Garantizar el correcto funcionamiento del sistema de informacion integral Clinical Suite mediante contrato de mantenimiento … (01/abr/2021 - 31/dic/2021)</v>
      </c>
      <c r="E20" s="0" t="str">
        <f aca="false">IFERROR(__xludf.dummyfunction("""COMPUTED_VALUE"""),"No se recibió información sobre los avances que evidencien la superación del hallazgo. Como respuesta de la Dirección  Financiera se informó lo siguiente ""NO ES DE COMPETENCIA DE LA DIRECCIÓN FINANCIERA""")</f>
        <v>No se recibió información sobre los avances que evidencien la superación del hallazgo. Como respuesta de la Dirección  Financiera se informó lo siguiente "NO ES DE COMPETENCIA DE LA DIRECCIÓN FINANCIERA"</v>
      </c>
      <c r="F20" s="0" t="str">
        <f aca="false">IFERROR(__xludf.dummyfunction("""COMPUTED_VALUE"""),"Atrasado")</f>
        <v>Atrasado</v>
      </c>
    </row>
    <row r="21" customFormat="false" ht="14.25" hidden="false" customHeight="false" outlineLevel="0" collapsed="false">
      <c r="A21" s="18" t="str">
        <f aca="false">IFERROR(MID(D21,1,FIND("|",D21)-1)&amp;"-"&amp;C21,"")</f>
        <v>AICI202113-2-1-3</v>
      </c>
      <c r="B21" s="19" t="n">
        <f aca="false">IFERROR(__xludf.dummyfunction("""COMPUTED_VALUE"""),44841)</f>
        <v>44841</v>
      </c>
      <c r="C21" s="0" t="n">
        <f aca="false">IFERROR(__xludf.dummyfunction("""COMPUTED_VALUE"""),3)</f>
        <v>3</v>
      </c>
      <c r="D21" s="0" t="str">
        <f aca="false">IFERROR(__xludf.dummyfunction("""COMPUTED_VALUE"""),"AICI202113-2-1| Diseñar un plan conjunto con las ares involucradas en el proceso contable para garantizar los soportes idoneos al momento de … (01/abr/2021 - 30/may/2021)")</f>
        <v>AICI202113-2-1| Diseñar un plan conjunto con las ares involucradas en el proceso contable para garantizar los soportes idoneos al momento de … (01/abr/2021 - 30/may/2021)</v>
      </c>
      <c r="E21" s="0" t="str">
        <f aca="false">IFERROR(__xludf.dummyfunction("""COMPUTED_VALUE"""),"Se presentó Plan de depuración contable ordinaria y extraordinaria ante el comité técnico de sostenibiliad contable del mes de septiembre para adelantar antes de diciembre 31 de 2022")</f>
        <v>Se presentó Plan de depuración contable ordinaria y extraordinaria ante el comité técnico de sostenibiliad contable del mes de septiembre para adelantar antes de diciembre 31 de 2022</v>
      </c>
      <c r="F21" s="0" t="str">
        <f aca="false">IFERROR(__xludf.dummyfunction("""COMPUTED_VALUE"""),"Atrasado")</f>
        <v>Atrasado</v>
      </c>
    </row>
    <row r="22" customFormat="false" ht="14.25" hidden="false" customHeight="false" outlineLevel="0" collapsed="false">
      <c r="A22" s="18" t="str">
        <f aca="false">IFERROR(MID(D22,1,FIND("|",D22)-1)&amp;"-"&amp;C22,"")</f>
        <v>AICI202113-3-1-3</v>
      </c>
      <c r="B22" s="19" t="n">
        <f aca="false">IFERROR(__xludf.dummyfunction("""COMPUTED_VALUE"""),44841)</f>
        <v>44841</v>
      </c>
      <c r="C22" s="0" t="n">
        <f aca="false">IFERROR(__xludf.dummyfunction("""COMPUTED_VALUE"""),3)</f>
        <v>3</v>
      </c>
      <c r="D22" s="0" t="str">
        <f aca="false">IFERROR(__xludf.dummyfunction("""COMPUTED_VALUE"""),"AICI202113-3-1| El deterioro se incremento debido a que se dio un cambio de metodología en el calculo deteriorando al 100% la cartera &gt; 720 … (01/abr/2021 - 31/dic/2021)")</f>
        <v>AICI202113-3-1| El deterioro se incremento debido a que se dio un cambio de metodología en el calculo deteriorando al 100% la cartera &gt; 720 … (01/abr/2021 - 31/dic/2021)</v>
      </c>
      <c r="E22" s="0" t="str">
        <f aca="false">IFERROR(__xludf.dummyfunction("""COMPUTED_VALUE"""),"El deterioro de la cartera ha venido incrementando por lo que el hallazgo no se ha superado. De acuerdo a los estados financieros el deterioro a agosto de 2022 es de $229.367 millones con un incremento del 5% con relación a agosto de 2021 
")</f>
        <v>El deterioro de la cartera ha venido incrementando por lo que el hallazgo no se ha superado. De acuerdo a los estados financieros el deterioro a agosto de 2022 es de $229.367 millones con un incremento del 5% con relación a agosto de 2021 
</v>
      </c>
      <c r="F22" s="0" t="str">
        <f aca="false">IFERROR(__xludf.dummyfunction("""COMPUTED_VALUE"""),"Atrasado")</f>
        <v>Atrasado</v>
      </c>
    </row>
    <row r="23" customFormat="false" ht="14.25" hidden="false" customHeight="false" outlineLevel="0" collapsed="false">
      <c r="A23" s="18" t="str">
        <f aca="false">IFERROR(MID(D23,1,FIND("|",D23)-1)&amp;"-"&amp;C23,"")</f>
        <v>AICI202113-4-1-3</v>
      </c>
      <c r="B23" s="19" t="n">
        <f aca="false">IFERROR(__xludf.dummyfunction("""COMPUTED_VALUE"""),44841)</f>
        <v>44841</v>
      </c>
      <c r="C23" s="0" t="n">
        <f aca="false">IFERROR(__xludf.dummyfunction("""COMPUTED_VALUE"""),3)</f>
        <v>3</v>
      </c>
      <c r="D23" s="0" t="str">
        <f aca="false">IFERROR(__xludf.dummyfunction("""COMPUTED_VALUE"""),"AICI202113-4-1| Generar una politica de descuento con los proveedores (01/abr/2021 - 30/jun/2021)")</f>
        <v>AICI202113-4-1| Generar una politica de descuento con los proveedores (01/abr/2021 - 30/jun/2021)</v>
      </c>
      <c r="E23" s="0" t="str">
        <f aca="false">IFERROR(__xludf.dummyfunction("""COMPUTED_VALUE"""),"Actualmente la política de descuento a proveedores se encuentra en proceso de revisión y aprobación por parte de las áreas involucradas  para ser presentada al comité de Gestión y desempeño para que desde allí se tome la decisión de aplicación para la con"&amp;"tratación ")</f>
        <v>Actualmente la política de descuento a proveedores se encuentra en proceso de revisión y aprobación por parte de las áreas involucradas  para ser presentada al comité de Gestión y desempeño para que desde allí se tome la decisión de aplicación para la contratación </v>
      </c>
      <c r="F23" s="0" t="str">
        <f aca="false">IFERROR(__xludf.dummyfunction("""COMPUTED_VALUE"""),"Atrasado")</f>
        <v>Atrasado</v>
      </c>
    </row>
    <row r="24" customFormat="false" ht="14.25" hidden="false" customHeight="false" outlineLevel="0" collapsed="false">
      <c r="A24" s="18" t="str">
        <f aca="false">IFERROR(MID(D24,1,FIND("|",D24)-1)&amp;"-"&amp;C24,"")</f>
        <v>AICI202113-5-1-3</v>
      </c>
      <c r="B24" s="19" t="n">
        <f aca="false">IFERROR(__xludf.dummyfunction("""COMPUTED_VALUE"""),44841)</f>
        <v>44841</v>
      </c>
      <c r="C24" s="0" t="n">
        <f aca="false">IFERROR(__xludf.dummyfunction("""COMPUTED_VALUE"""),3)</f>
        <v>3</v>
      </c>
      <c r="D24" s="0" t="str">
        <f aca="false">IFERROR(__xludf.dummyfunction("""COMPUTED_VALUE"""),"AICI202113-5-1| Coordinar con el area de Talento Humano plan de capacitacion donde se incluya al personal de contabilidad (01/abr/2021 - 30/jun/2021)")</f>
        <v>AICI202113-5-1| Coordinar con el area de Talento Humano plan de capacitacion donde se incluya al personal de contabilidad (01/abr/2021 - 30/jun/2021)</v>
      </c>
      <c r="E24" s="0" t="str">
        <f aca="false">IFERROR(__xludf.dummyfunction("""COMPUTED_VALUE"""),"Por parte de Contabilidad, se dio cumplimiento a la acción, al gestionar la solicitud de capacitación que contribuyan al desarrollo de competencias y actualización permanente del personal involucrado en el proceso contable y se está a disposición a los li"&amp;"neamientos de Talento Humano y el Plan Institucional de Capacitación.")</f>
        <v>Por parte de Contabilidad, se dio cumplimiento a la acción, al gestionar la solicitud de capacitación que contribuyan al desarrollo de competencias y actualización permanente del personal involucrado en el proceso contable y se está a disposición a los lineamientos de Talento Humano y el Plan Institucional de Capacitación.</v>
      </c>
      <c r="F24" s="0" t="str">
        <f aca="false">IFERROR(__xludf.dummyfunction("""COMPUTED_VALUE"""),"Completo")</f>
        <v>Completo</v>
      </c>
      <c r="G24" s="0" t="str">
        <f aca="false">IFERROR(__xludf.dummyfunction("""COMPUTED_VALUE"""),"No")</f>
        <v>No</v>
      </c>
    </row>
    <row r="25" customFormat="false" ht="14.25" hidden="false" customHeight="false" outlineLevel="0" collapsed="false">
      <c r="A25" s="18" t="str">
        <f aca="false">IFERROR(MID(D25,1,FIND("|",D25)-1)&amp;"-"&amp;C25,"")</f>
        <v>AICI202113-7-1-3</v>
      </c>
      <c r="B25" s="19" t="n">
        <f aca="false">IFERROR(__xludf.dummyfunction("""COMPUTED_VALUE"""),44841)</f>
        <v>44841</v>
      </c>
      <c r="C25" s="0" t="n">
        <f aca="false">IFERROR(__xludf.dummyfunction("""COMPUTED_VALUE"""),3)</f>
        <v>3</v>
      </c>
      <c r="D25" s="0" t="str">
        <f aca="false">IFERROR(__xludf.dummyfunction("""COMPUTED_VALUE"""),"AICI202113-7-1| Crear mesas de trabajo con las areas involucradas en el proceso contable con el fin de actualizar el manual de politicas contables (01/abr/2021 - 01/jun/2021)")</f>
        <v>AICI202113-7-1| Crear mesas de trabajo con las areas involucradas en el proceso contable con el fin de actualizar el manual de politicas contables (01/abr/2021 - 01/jun/2021)</v>
      </c>
      <c r="E25" s="0" t="str">
        <f aca="false">IFERROR(__xludf.dummyfunction("""COMPUTED_VALUE"""),"El Manual de Políticas Contables no se ha actualizado y se informa que se presentará la necesidad ante el comité de sostenibilidad.")</f>
        <v>El Manual de Políticas Contables no se ha actualizado y se informa que se presentará la necesidad ante el comité de sostenibilidad.</v>
      </c>
      <c r="F25" s="0" t="str">
        <f aca="false">IFERROR(__xludf.dummyfunction("""COMPUTED_VALUE"""),"Atrasado")</f>
        <v>Atrasado</v>
      </c>
    </row>
    <row r="26" customFormat="false" ht="14.25" hidden="false" customHeight="false" outlineLevel="0" collapsed="false">
      <c r="A26" s="18" t="str">
        <f aca="false">IFERROR(MID(D26,1,FIND("|",D26)-1)&amp;"-"&amp;C26,"")</f>
        <v>AICI202113-9-1-3</v>
      </c>
      <c r="B26" s="19" t="n">
        <f aca="false">IFERROR(__xludf.dummyfunction("""COMPUTED_VALUE"""),44841)</f>
        <v>44841</v>
      </c>
      <c r="C26" s="0" t="n">
        <f aca="false">IFERROR(__xludf.dummyfunction("""COMPUTED_VALUE"""),3)</f>
        <v>3</v>
      </c>
      <c r="D26" s="0" t="str">
        <f aca="false">IFERROR(__xludf.dummyfunction("""COMPUTED_VALUE"""),"AICI202113-9-1| Garantizar el correcto funcionamiento del sistema de informacion integral Clinical Suite mediante contrato de mantenimiento …9 (01/abr/2021 - 31/dic/2021)")</f>
        <v>AICI202113-9-1| Garantizar el correcto funcionamiento del sistema de informacion integral Clinical Suite mediante contrato de mantenimiento …9 (01/abr/2021 - 31/dic/2021)</v>
      </c>
      <c r="E26" s="0" t="str">
        <f aca="false">IFERROR(__xludf.dummyfunction("""COMPUTED_VALUE"""),"El sistema de información, continúa presentando debilidades que no pueden ser resueltas por la Dirección Financiera pero que afectan el desarrollo de sus actividades.")</f>
        <v>El sistema de información, continúa presentando debilidades que no pueden ser resueltas por la Dirección Financiera pero que afectan el desarrollo de sus actividades.</v>
      </c>
      <c r="F26" s="0" t="str">
        <f aca="false">IFERROR(__xludf.dummyfunction("""COMPUTED_VALUE"""),"Atrasado")</f>
        <v>Atrasado</v>
      </c>
    </row>
    <row r="27" customFormat="false" ht="14.25" hidden="false" customHeight="false" outlineLevel="0" collapsed="false">
      <c r="A27" s="18" t="str">
        <f aca="false">IFERROR(MID(D27,1,FIND("|",D27)-1)&amp;"-"&amp;C27,"")</f>
        <v>AICI202113-1-1-4</v>
      </c>
      <c r="B27" s="19" t="n">
        <f aca="false">IFERROR(__xludf.dummyfunction("""COMPUTED_VALUE"""),44945)</f>
        <v>44945</v>
      </c>
      <c r="C27" s="0" t="n">
        <f aca="false">IFERROR(__xludf.dummyfunction("""COMPUTED_VALUE"""),4)</f>
        <v>4</v>
      </c>
      <c r="D27" s="0" t="str">
        <f aca="false">IFERROR(__xludf.dummyfunction("""COMPUTED_VALUE"""),"AICI202113-1-1| Garantizar el correcto funcionamiento del sistema de informacion integral Clinical Suite mediante contrato de mantenimiento … (01/abr/2021 - 31/dic/2021)")</f>
        <v>AICI202113-1-1| Garantizar el correcto funcionamiento del sistema de informacion integral Clinical Suite mediante contrato de mantenimiento … (01/abr/2021 - 31/dic/2021)</v>
      </c>
      <c r="E27" s="0" t="str">
        <f aca="false">IFERROR(__xludf.dummyfunction("""COMPUTED_VALUE"""),"Se envía por parte del área de Sistemas el contrato inicial N. 243-2020 celebrado con el proveedor del software de información integral Servinte Clinical Suite y el ultimo Otro Si N. 020 de 2022  el cual tiene una vigencia hasta el 8 de febrero de 2023, c"&amp;"orrespondiente al mantenimiento del sistema de información.")</f>
        <v>Se envía por parte del área de Sistemas el contrato inicial N. 243-2020 celebrado con el proveedor del software de información integral Servinte Clinical Suite y el ultimo Otro Si N. 020 de 2022  el cual tiene una vigencia hasta el 8 de febrero de 2023, correspondiente al mantenimiento del sistema de información.</v>
      </c>
      <c r="F27" s="0" t="str">
        <f aca="false">IFERROR(__xludf.dummyfunction("""COMPUTED_VALUE"""),"Completo")</f>
        <v>Completo</v>
      </c>
      <c r="G27" s="0" t="str">
        <f aca="false">IFERROR(__xludf.dummyfunction("""COMPUTED_VALUE"""),"Sí")</f>
        <v>Sí</v>
      </c>
    </row>
    <row r="28" customFormat="false" ht="14.25" hidden="false" customHeight="false" outlineLevel="0" collapsed="false">
      <c r="A28" s="18" t="str">
        <f aca="false">IFERROR(MID(D28,1,FIND("|",D28)-1)&amp;"-"&amp;C28,"")</f>
        <v>AICI202113-2-1-4</v>
      </c>
      <c r="B28" s="19" t="n">
        <f aca="false">IFERROR(__xludf.dummyfunction("""COMPUTED_VALUE"""),44945)</f>
        <v>44945</v>
      </c>
      <c r="C28" s="0" t="n">
        <f aca="false">IFERROR(__xludf.dummyfunction("""COMPUTED_VALUE"""),4)</f>
        <v>4</v>
      </c>
      <c r="D28" s="0" t="str">
        <f aca="false">IFERROR(__xludf.dummyfunction("""COMPUTED_VALUE"""),"AICI202113-2-1| Diseñar un plan conjunto con las ares involucradas en el proceso contable para garantizar los soportes idoneos al momento de … (01/abr/2021 - 30/may/2021)")</f>
        <v>AICI202113-2-1| Diseñar un plan conjunto con las ares involucradas en el proceso contable para garantizar los soportes idoneos al momento de … (01/abr/2021 - 30/may/2021)</v>
      </c>
      <c r="E28" s="0" t="str">
        <f aca="false">IFERROR(__xludf.dummyfunction("""COMPUTED_VALUE"""),"Teniendo en cuenta que la Dirección Financiera brindo respuesta  de este  hallazgo mediante la implementación del  proceso de Depuración contable  y el cual  va hacer ejecutado a partir de la vigencia 2023, no es posible realizar la medición de efectivida"&amp;"d ante el plan de depuración y si garantiza la subsanación del hallazgo, debido a que en el mes de diciembre del 2022  se socializo la metodología más no  la aplicación de forma inmediata.")</f>
        <v>Teniendo en cuenta que la Dirección Financiera brindo respuesta  de este  hallazgo mediante la implementación del  proceso de Depuración contable  y el cual  va hacer ejecutado a partir de la vigencia 2023, no es posible realizar la medición de efectividad ante el plan de depuración y si garantiza la subsanación del hallazgo, debido a que en el mes de diciembre del 2022  se socializo la metodología más no  la aplicación de forma inmediata.</v>
      </c>
      <c r="F28" s="0" t="str">
        <f aca="false">IFERROR(__xludf.dummyfunction("""COMPUTED_VALUE"""),"Atrasado")</f>
        <v>Atrasado</v>
      </c>
    </row>
    <row r="29" customFormat="false" ht="14.25" hidden="false" customHeight="false" outlineLevel="0" collapsed="false">
      <c r="A29" s="18" t="str">
        <f aca="false">IFERROR(MID(D29,1,FIND("|",D29)-1)&amp;"-"&amp;C29,"")</f>
        <v>AICI202113-3-1-4</v>
      </c>
      <c r="B29" s="19" t="n">
        <f aca="false">IFERROR(__xludf.dummyfunction("""COMPUTED_VALUE"""),44945)</f>
        <v>44945</v>
      </c>
      <c r="C29" s="0" t="n">
        <f aca="false">IFERROR(__xludf.dummyfunction("""COMPUTED_VALUE"""),4)</f>
        <v>4</v>
      </c>
      <c r="D29" s="0" t="str">
        <f aca="false">IFERROR(__xludf.dummyfunction("""COMPUTED_VALUE"""),"AICI202113-3-1| El deterioro se incremento debido a que se dio un cambio de metodología en el calculo deteriorando al 100% la cartera &gt; 720 … (01/abr/2021 - 31/dic/2021)")</f>
        <v>AICI202113-3-1| El deterioro se incremento debido a que se dio un cambio de metodología en el calculo deteriorando al 100% la cartera &gt; 720 … (01/abr/2021 - 31/dic/2021)</v>
      </c>
      <c r="E29" s="0" t="str">
        <f aca="false">IFERROR(__xludf.dummyfunction("""COMPUTED_VALUE"""),"Ante la justificación enviada por parte de la Dirección financiera, se determina que este hallazgo continua en estado atrasado debido al impacto que tiene el proceso de deterioro en los Estados financieros de la Entidad ya que en las dos últimas dos vigen"&amp;"cias a incidido este concepto en el  déficit  del ejercicio de la Subred norte. Adicional se efectuará seguimiento a: a)  aplicación del concepto emitido por la Contaduría de Bogotá D.C. respecto al deterioro de cartera en los estados financieros al cierr"&amp;"e de la vigencia 2022. b) resultados de la gestión, del Comité de Ingresos del ultimo trimestre de 2022 , teniendo en cuenta la fecha de creación, es decir el 13 de septiembre de 2022.")</f>
        <v>Ante la justificación enviada por parte de la Dirección financiera, se determina que este hallazgo continua en estado atrasado debido al impacto que tiene el proceso de deterioro en los Estados financieros de la Entidad ya que en las dos últimas dos vigencias a incidido este concepto en el  déficit  del ejercicio de la Subred norte. Adicional se efectuará seguimiento a: a)  aplicación del concepto emitido por la Contaduría de Bogotá D.C. respecto al deterioro de cartera en los estados financieros al cierre de la vigencia 2022. b) resultados de la gestión, del Comité de Ingresos del ultimo trimestre de 2022 , teniendo en cuenta la fecha de creación, es decir el 13 de septiembre de 2022.</v>
      </c>
      <c r="F29" s="0" t="str">
        <f aca="false">IFERROR(__xludf.dummyfunction("""COMPUTED_VALUE"""),"Atrasado")</f>
        <v>Atrasado</v>
      </c>
    </row>
    <row r="30" customFormat="false" ht="14.25" hidden="false" customHeight="false" outlineLevel="0" collapsed="false">
      <c r="A30" s="18" t="str">
        <f aca="false">IFERROR(MID(D30,1,FIND("|",D30)-1)&amp;"-"&amp;C30,"")</f>
        <v>AICI202113-4-1-4</v>
      </c>
      <c r="B30" s="19" t="n">
        <f aca="false">IFERROR(__xludf.dummyfunction("""COMPUTED_VALUE"""),44945)</f>
        <v>44945</v>
      </c>
      <c r="C30" s="0" t="n">
        <f aca="false">IFERROR(__xludf.dummyfunction("""COMPUTED_VALUE"""),4)</f>
        <v>4</v>
      </c>
      <c r="D30" s="0" t="str">
        <f aca="false">IFERROR(__xludf.dummyfunction("""COMPUTED_VALUE"""),"AICI202113-4-1| Generar una politica de descuento con los proveedores (01/abr/2021 - 30/jun/2021)")</f>
        <v>AICI202113-4-1| Generar una politica de descuento con los proveedores (01/abr/2021 - 30/jun/2021)</v>
      </c>
      <c r="E30" s="0" t="str">
        <f aca="false">IFERROR(__xludf.dummyfunction("""COMPUTED_VALUE"""),"Con base en los argumentos presentados por la Dirección Financiera, se ratifica que la política de descuentos no se ha implementado por tanto este hallazgo continua en estado atrasado.")</f>
        <v>Con base en los argumentos presentados por la Dirección Financiera, se ratifica que la política de descuentos no se ha implementado por tanto este hallazgo continua en estado atrasado.</v>
      </c>
      <c r="F30" s="0" t="str">
        <f aca="false">IFERROR(__xludf.dummyfunction("""COMPUTED_VALUE"""),"Atrasado")</f>
        <v>Atrasado</v>
      </c>
    </row>
    <row r="31" customFormat="false" ht="14.25" hidden="false" customHeight="false" outlineLevel="0" collapsed="false">
      <c r="A31" s="18" t="str">
        <f aca="false">IFERROR(MID(D31,1,FIND("|",D31)-1)&amp;"-"&amp;C31,"")</f>
        <v>AICI202113-7-1-4</v>
      </c>
      <c r="B31" s="19" t="n">
        <f aca="false">IFERROR(__xludf.dummyfunction("""COMPUTED_VALUE"""),44945)</f>
        <v>44945</v>
      </c>
      <c r="C31" s="0" t="n">
        <f aca="false">IFERROR(__xludf.dummyfunction("""COMPUTED_VALUE"""),4)</f>
        <v>4</v>
      </c>
      <c r="D31" s="0" t="str">
        <f aca="false">IFERROR(__xludf.dummyfunction("""COMPUTED_VALUE"""),"AICI202113-7-1| Crear mesas de trabajo con las areas involucradas en el proceso contable con el fin de actualizar el manual de politicas contables (01/abr/2021 - 01/jun/2021)")</f>
        <v>AICI202113-7-1| Crear mesas de trabajo con las areas involucradas en el proceso contable con el fin de actualizar el manual de politicas contables (01/abr/2021 - 01/jun/2021)</v>
      </c>
      <c r="E31" s="0" t="str">
        <f aca="false">IFERROR(__xludf.dummyfunction("""COMPUTED_VALUE"""),"Como se observa en la respuesta brindada por la Dirección Financiera, no se ha actualizado el manual de políticas contables de la Entidad por tanto continua atrasado el hallazgo.")</f>
        <v>Como se observa en la respuesta brindada por la Dirección Financiera, no se ha actualizado el manual de políticas contables de la Entidad por tanto continua atrasado el hallazgo.</v>
      </c>
      <c r="F31" s="0" t="str">
        <f aca="false">IFERROR(__xludf.dummyfunction("""COMPUTED_VALUE"""),"Atrasado")</f>
        <v>Atrasado</v>
      </c>
    </row>
    <row r="32" customFormat="false" ht="14.25" hidden="false" customHeight="false" outlineLevel="0" collapsed="false">
      <c r="A32" s="18" t="str">
        <f aca="false">IFERROR(MID(D32,1,FIND("|",D32)-1)&amp;"-"&amp;C32,"")</f>
        <v>AICI202113-9-1-4</v>
      </c>
      <c r="B32" s="19" t="n">
        <f aca="false">IFERROR(__xludf.dummyfunction("""COMPUTED_VALUE"""),44945)</f>
        <v>44945</v>
      </c>
      <c r="C32" s="0" t="n">
        <f aca="false">IFERROR(__xludf.dummyfunction("""COMPUTED_VALUE"""),4)</f>
        <v>4</v>
      </c>
      <c r="D32" s="0" t="str">
        <f aca="false">IFERROR(__xludf.dummyfunction("""COMPUTED_VALUE"""),"AICI202113-9-1| Garantizar el correcto funcionamiento del sistema de informacion integral Clinical Suite mediante contrato de mantenimiento …9 (01/abr/2021 - 31/dic/2021)")</f>
        <v>AICI202113-9-1| Garantizar el correcto funcionamiento del sistema de informacion integral Clinical Suite mediante contrato de mantenimiento …9 (01/abr/2021 - 31/dic/2021)</v>
      </c>
      <c r="E32" s="0" t="str">
        <f aca="false">IFERROR(__xludf.dummyfunction("""COMPUTED_VALUE"""),"Este hallazgo se determina en atraso,  debido a que el reconocimiento contable de Nomina y Costos continua de forma manual (archivos de excel) . Se tiene expectativa del nuevo software Dinámica Gerencial, el cual sera implementado a partir del segundo tri"&amp;"mestre de 2023, para lo cual se evaluara su funcionamiento y posible subsanación de este hallazgo. Es importante mencionar que esta observación impacta en los Estados Financieros de la Entidad.")</f>
        <v>Este hallazgo se determina en atraso,  debido a que el reconocimiento contable de Nomina y Costos continua de forma manual (archivos de excel) . Se tiene expectativa del nuevo software Dinámica Gerencial, el cual sera implementado a partir del segundo trimestre de 2023, para lo cual se evaluara su funcionamiento y posible subsanación de este hallazgo. Es importante mencionar que esta observación impacta en los Estados Financieros de la Entidad.</v>
      </c>
      <c r="F32" s="0" t="str">
        <f aca="false">IFERROR(__xludf.dummyfunction("""COMPUTED_VALUE"""),"Atrasado")</f>
        <v>Atrasado</v>
      </c>
    </row>
    <row r="33" customFormat="false" ht="14.25" hidden="false" customHeight="false" outlineLevel="0" collapsed="false">
      <c r="A33" s="18" t="str">
        <f aca="false">IFERROR(MID(D33,1,FIND("|",D33)-1)&amp;"-"&amp;C33,"")</f>
        <v>AICI202113-2-1-5</v>
      </c>
      <c r="B33" s="19" t="n">
        <f aca="false">IFERROR(__xludf.dummyfunction("""COMPUTED_VALUE"""),45029)</f>
        <v>45029</v>
      </c>
      <c r="C33" s="0" t="n">
        <f aca="false">IFERROR(__xludf.dummyfunction("""COMPUTED_VALUE"""),5)</f>
        <v>5</v>
      </c>
      <c r="D33" s="0" t="str">
        <f aca="false">IFERROR(__xludf.dummyfunction("""COMPUTED_VALUE"""),"AICI202113-2-1| Diseñar un plan conjunto con las ares involucradas en el proceso contable para garantizar los soportes idoneos al momento de … (01/abr/2021 - 30/may/2021)")</f>
        <v>AICI202113-2-1| Diseñar un plan conjunto con las ares involucradas en el proceso contable para garantizar los soportes idoneos al momento de … (01/abr/2021 - 30/may/2021)</v>
      </c>
      <c r="E33" s="0" t="str">
        <f aca="false">IFERROR(__xludf.dummyfunction("""COMPUTED_VALUE"""),"Se da da inicio al proceso de depuración mediante  la presentación del plan de depuración contable,  el cual fue presentado el 29 de marzo de 2023 en Comité de Sostenibilidad Contable.")</f>
        <v>Se da da inicio al proceso de depuración mediante  la presentación del plan de depuración contable,  el cual fue presentado el 29 de marzo de 2023 en Comité de Sostenibilidad Contable.</v>
      </c>
      <c r="F33" s="0" t="str">
        <f aca="false">IFERROR(__xludf.dummyfunction("""COMPUTED_VALUE"""),"Atrasado")</f>
        <v>Atrasado</v>
      </c>
    </row>
    <row r="34" customFormat="false" ht="14.25" hidden="false" customHeight="false" outlineLevel="0" collapsed="false">
      <c r="A34" s="18" t="str">
        <f aca="false">IFERROR(MID(D34,1,FIND("|",D34)-1)&amp;"-"&amp;C34,"")</f>
        <v>AICI202113-3-1-5</v>
      </c>
      <c r="B34" s="19" t="n">
        <f aca="false">IFERROR(__xludf.dummyfunction("""COMPUTED_VALUE"""),45029)</f>
        <v>45029</v>
      </c>
      <c r="C34" s="0" t="n">
        <f aca="false">IFERROR(__xludf.dummyfunction("""COMPUTED_VALUE"""),5)</f>
        <v>5</v>
      </c>
      <c r="D34" s="0" t="str">
        <f aca="false">IFERROR(__xludf.dummyfunction("""COMPUTED_VALUE"""),"AICI202113-3-1| El deterioro se incremento debido a que se dio un cambio de metodología en el calculo deteriorando al 100% la cartera &gt; 720 … (01/abr/2021 - 31/dic/2021)")</f>
        <v>AICI202113-3-1| El deterioro se incremento debido a que se dio un cambio de metodología en el calculo deteriorando al 100% la cartera &gt; 720 … (01/abr/2021 - 31/dic/2021)</v>
      </c>
      <c r="E34" s="0" t="str">
        <f aca="false">IFERROR(__xludf.dummyfunction("""COMPUTED_VALUE"""),"Teniendo en cuenta la respuesta suministrada por la dirección financiera se observa en el anexo denominado Conciliacion Contable de cartera que el valor de $232,116 millones corresponde al acumulado del deterioro saldos de Cartera ,  más no el saldo que s"&amp;"e presenta en los estados financieros de la Entidad a febrero/2023 , el cual corresponde a $233,442 millones.  La diferencia de $1.325 millones  en la conciliacion contable  se da por partidas en  ""Proceso de Depuración"", incidiendo  el resultado del Ha"&amp;"llazgo, el cual no ha sido subsanado debido a que no se evidencia  una recuperación de cartera, o se puede determinar un envejecimiento de las cuentas por cobrar.
A corte del mes de  febrero de 2023, no se ha aplicado deterioro de cuentas por cobrar de 20"&amp;"23, tal como se observa en el estado de resultado comparativos 2023-2022.")</f>
        <v>Teniendo en cuenta la respuesta suministrada por la dirección financiera se observa en el anexo denominado Conciliacion Contable de cartera que el valor de $232,116 millones corresponde al acumulado del deterioro saldos de Cartera ,  más no el saldo que se presenta en los estados financieros de la Entidad a febrero/2023 , el cual corresponde a $233,442 millones.  La diferencia de $1.325 millones  en la conciliacion contable  se da por partidas en  "Proceso de Depuración", incidiendo  el resultado del Hallazgo, el cual no ha sido subsanado debido a que no se evidencia  una recuperación de cartera, o se puede determinar un envejecimiento de las cuentas por cobrar.
A corte del mes de  febrero de 2023, no se ha aplicado deterioro de cuentas por cobrar de 2023, tal como se observa en el estado de resultado comparativos 2023-2022.</v>
      </c>
      <c r="F34" s="0" t="str">
        <f aca="false">IFERROR(__xludf.dummyfunction("""COMPUTED_VALUE"""),"Atrasado")</f>
        <v>Atrasado</v>
      </c>
    </row>
    <row r="35" customFormat="false" ht="14.25" hidden="false" customHeight="false" outlineLevel="0" collapsed="false">
      <c r="A35" s="18" t="str">
        <f aca="false">IFERROR(MID(D35,1,FIND("|",D35)-1)&amp;"-"&amp;C35,"")</f>
        <v>AICI202113-4-1-5</v>
      </c>
      <c r="B35" s="19" t="n">
        <f aca="false">IFERROR(__xludf.dummyfunction("""COMPUTED_VALUE"""),45029)</f>
        <v>45029</v>
      </c>
      <c r="C35" s="0" t="n">
        <f aca="false">IFERROR(__xludf.dummyfunction("""COMPUTED_VALUE"""),5)</f>
        <v>5</v>
      </c>
      <c r="D35" s="0" t="str">
        <f aca="false">IFERROR(__xludf.dummyfunction("""COMPUTED_VALUE"""),"AICI202113-4-1| Generar una politica de descuento con los proveedores (01/abr/2021 - 30/jun/2021)")</f>
        <v>AICI202113-4-1| Generar una politica de descuento con los proveedores (01/abr/2021 - 30/jun/2021)</v>
      </c>
      <c r="E35" s="0" t="str">
        <f aca="false">IFERROR(__xludf.dummyfunction("""COMPUTED_VALUE"""),"Con base en la justificacion brindada por la Direccion Financiera, contradice la gestión manifestada en el anterior seguimiento, donde se argumentaba;  "" Sin embargo, la entidad se encuentra en proceso de generación de una política de descuentos, la cual"&amp;" se presentará en el Comité de Gestión y Desempeño del primer trimestre de 2023 para su respectiva evaluación"".
Lo anterior desvirtúa la gestión , y  se puede deducir  que  la Política de Descuento es viable establecerla, pero su aplicación estaría sujet"&amp;"a a la disponibilidad de los recursos financieros que existan en su momento.
")</f>
        <v>Con base en la justificacion brindada por la Direccion Financiera, contradice la gestión manifestada en el anterior seguimiento, donde se argumentaba;  " Sin embargo, la entidad se encuentra en proceso de generación de una política de descuentos, la cual se presentará en el Comité de Gestión y Desempeño del primer trimestre de 2023 para su respectiva evaluación".
Lo anterior desvirtúa la gestión , y  se puede deducir  que  la Política de Descuento es viable establecerla, pero su aplicación estaría sujeta a la disponibilidad de los recursos financieros que existan en su momento.
</v>
      </c>
      <c r="F35" s="0" t="str">
        <f aca="false">IFERROR(__xludf.dummyfunction("""COMPUTED_VALUE"""),"Atrasado")</f>
        <v>Atrasado</v>
      </c>
    </row>
    <row r="36" customFormat="false" ht="14.25" hidden="false" customHeight="false" outlineLevel="0" collapsed="false">
      <c r="A36" s="18" t="str">
        <f aca="false">IFERROR(MID(D36,1,FIND("|",D36)-1)&amp;"-"&amp;C36,"")</f>
        <v>AICI202113-7-1-5</v>
      </c>
      <c r="B36" s="19" t="n">
        <f aca="false">IFERROR(__xludf.dummyfunction("""COMPUTED_VALUE"""),45029)</f>
        <v>45029</v>
      </c>
      <c r="C36" s="0" t="n">
        <f aca="false">IFERROR(__xludf.dummyfunction("""COMPUTED_VALUE"""),5)</f>
        <v>5</v>
      </c>
      <c r="D36" s="0" t="str">
        <f aca="false">IFERROR(__xludf.dummyfunction("""COMPUTED_VALUE"""),"AICI202113-7-1| Crear mesas de trabajo con las areas involucradas en el proceso contable con el fin de actualizar el manual de politicas contables (01/abr/2021 - 01/jun/2021)")</f>
        <v>AICI202113-7-1| Crear mesas de trabajo con las areas involucradas en el proceso contable con el fin de actualizar el manual de politicas contables (01/abr/2021 - 01/jun/2021)</v>
      </c>
      <c r="E36" s="0" t="str">
        <f aca="false">IFERROR(__xludf.dummyfunction("""COMPUTED_VALUE"""),"El hallazgo continua en estado atrasado debido a que persiste la desactualizacion del Manual de Políticas contables, más el agravante como es la implementación del nuevo software de información Dinámica Gerencial, que incide en los procesos administrativo"&amp;"s y contables de la Entidad.")</f>
        <v>El hallazgo continua en estado atrasado debido a que persiste la desactualizacion del Manual de Políticas contables, más el agravante como es la implementación del nuevo software de información Dinámica Gerencial, que incide en los procesos administrativos y contables de la Entidad.</v>
      </c>
      <c r="F36" s="0" t="str">
        <f aca="false">IFERROR(__xludf.dummyfunction("""COMPUTED_VALUE"""),"Atrasado")</f>
        <v>Atrasado</v>
      </c>
    </row>
    <row r="37" customFormat="false" ht="14.25" hidden="false" customHeight="false" outlineLevel="0" collapsed="false">
      <c r="A37" s="18" t="str">
        <f aca="false">IFERROR(MID(D37,1,FIND("|",D37)-1)&amp;"-"&amp;C37,"")</f>
        <v>AICI202113-9-1-5</v>
      </c>
      <c r="B37" s="19" t="n">
        <f aca="false">IFERROR(__xludf.dummyfunction("""COMPUTED_VALUE"""),45029)</f>
        <v>45029</v>
      </c>
      <c r="C37" s="0" t="n">
        <f aca="false">IFERROR(__xludf.dummyfunction("""COMPUTED_VALUE"""),5)</f>
        <v>5</v>
      </c>
      <c r="D37" s="0" t="str">
        <f aca="false">IFERROR(__xludf.dummyfunction("""COMPUTED_VALUE"""),"AICI202113-9-1| Garantizar el correcto funcionamiento del sistema de informacion integral Clinical Suite mediante contrato de mantenimiento …9 (01/abr/2021 - 31/dic/2021)")</f>
        <v>AICI202113-9-1| Garantizar el correcto funcionamiento del sistema de informacion integral Clinical Suite mediante contrato de mantenimiento …9 (01/abr/2021 - 31/dic/2021)</v>
      </c>
      <c r="E37" s="0" t="str">
        <f aca="false">IFERROR(__xludf.dummyfunction("""COMPUTED_VALUE"""),"Si bien es cierto la parametrización y desarrollo del módulo de costos es una actividad donde interviene el Área de Sistemas, la Dirección Financiera debe garantizar el funcionamiento y resultado de la información ya que impacta en los estados financieros"&amp;", ejecución presupuestal y demás informes financieros básico en la toma de decisiones a nivel directivo.")</f>
        <v>Si bien es cierto la parametrización y desarrollo del módulo de costos es una actividad donde interviene el Área de Sistemas, la Dirección Financiera debe garantizar el funcionamiento y resultado de la información ya que impacta en los estados financieros, ejecución presupuestal y demás informes financieros básico en la toma de decisiones a nivel directivo.</v>
      </c>
      <c r="F37" s="0" t="str">
        <f aca="false">IFERROR(__xludf.dummyfunction("""COMPUTED_VALUE"""),"Atrasado")</f>
        <v>Atrasado</v>
      </c>
    </row>
    <row r="38" customFormat="false" ht="14.25" hidden="false" customHeight="false" outlineLevel="0" collapsed="false">
      <c r="A38" s="18" t="str">
        <f aca="false">IFERROR(MID(D38,1,FIND("|",D38)-1)&amp;"-"&amp;C38,"")</f>
        <v>AICI202113-2-1-6</v>
      </c>
      <c r="B38" s="19" t="n">
        <f aca="false">IFERROR(__xludf.dummyfunction("""COMPUTED_VALUE"""),45118)</f>
        <v>45118</v>
      </c>
      <c r="C38" s="0" t="n">
        <f aca="false">IFERROR(__xludf.dummyfunction("""COMPUTED_VALUE"""),6)</f>
        <v>6</v>
      </c>
      <c r="D38" s="0" t="str">
        <f aca="false">IFERROR(__xludf.dummyfunction("""COMPUTED_VALUE"""),"AICI202113-2-1| Diseñar un plan conjunto con las ares involucradas en el proceso contable para garantizar los soportes idoneos al momento de … (01/abr/2021 - 30/may/2021)")</f>
        <v>AICI202113-2-1| Diseñar un plan conjunto con las ares involucradas en el proceso contable para garantizar los soportes idoneos al momento de … (01/abr/2021 - 30/may/2021)</v>
      </c>
      <c r="E38" s="0" t="str">
        <f aca="false">IFERROR(__xludf.dummyfunction("""COMPUTED_VALUE"""),"No se tuvo acceso a la documentación correspondiente a los ajustes contables  ")</f>
        <v>No se tuvo acceso a la documentación correspondiente a los ajustes contables  </v>
      </c>
      <c r="F38" s="0" t="str">
        <f aca="false">IFERROR(__xludf.dummyfunction("""COMPUTED_VALUE"""),"Atrasado")</f>
        <v>Atrasado</v>
      </c>
    </row>
    <row r="39" customFormat="false" ht="14.25" hidden="false" customHeight="false" outlineLevel="0" collapsed="false">
      <c r="A39" s="18" t="str">
        <f aca="false">IFERROR(MID(D39,1,FIND("|",D39)-1)&amp;"-"&amp;C39,"")</f>
        <v>AICI202113-9-1-6</v>
      </c>
      <c r="B39" s="19" t="n">
        <f aca="false">IFERROR(__xludf.dummyfunction("""COMPUTED_VALUE"""),45118)</f>
        <v>45118</v>
      </c>
      <c r="C39" s="0" t="n">
        <f aca="false">IFERROR(__xludf.dummyfunction("""COMPUTED_VALUE"""),6)</f>
        <v>6</v>
      </c>
      <c r="D39" s="0" t="str">
        <f aca="false">IFERROR(__xludf.dummyfunction("""COMPUTED_VALUE"""),"AICI202113-9-1| Garantizar el correcto funcionamiento del sistema de informacion integral Clinical Suite mediante contrato de mantenimiento …9 (01/abr/2021 - 31/dic/2021)")</f>
        <v>AICI202113-9-1| Garantizar el correcto funcionamiento del sistema de informacion integral Clinical Suite mediante contrato de mantenimiento …9 (01/abr/2021 - 31/dic/2021)</v>
      </c>
      <c r="E39" s="0" t="str">
        <f aca="false">IFERROR(__xludf.dummyfunction("""COMPUTED_VALUE"""),"Con base en la implementación y desarrollo del nuevo sistema de información denominado Dinámica Gerencial adquirido mediante el contrato N. 191-2022, se determina el cierre de este hallazgo debido a que se subsana el manejo y control de los costos y la no"&amp;"mina de la Entidad ya que contiene los módulos , los cuales permiten hacer la interfase con el modulo contable. Situación que no se tenia con el anterior software de información.")</f>
        <v>Con base en la implementación y desarrollo del nuevo sistema de información denominado Dinámica Gerencial adquirido mediante el contrato N. 191-2022, se determina el cierre de este hallazgo debido a que se subsana el manejo y control de los costos y la nomina de la Entidad ya que contiene los módulos , los cuales permiten hacer la interfase con el modulo contable. Situación que no se tenia con el anterior software de información.</v>
      </c>
      <c r="F39" s="0" t="str">
        <f aca="false">IFERROR(__xludf.dummyfunction("""COMPUTED_VALUE"""),"Completo")</f>
        <v>Completo</v>
      </c>
      <c r="G39" s="0" t="str">
        <f aca="false">IFERROR(__xludf.dummyfunction("""COMPUTED_VALUE"""),"Sí")</f>
        <v>Sí</v>
      </c>
    </row>
    <row r="40" customFormat="false" ht="14.25" hidden="false" customHeight="false" outlineLevel="0" collapsed="false">
      <c r="A40" s="18" t="str">
        <f aca="false">IFERROR(MID(D40,1,FIND("|",D40)-1)&amp;"-"&amp;C40,"")</f>
        <v>AICI202113-4-1-6</v>
      </c>
      <c r="B40" s="19" t="n">
        <f aca="false">IFERROR(__xludf.dummyfunction("""COMPUTED_VALUE"""),45118)</f>
        <v>45118</v>
      </c>
      <c r="C40" s="0" t="n">
        <f aca="false">IFERROR(__xludf.dummyfunction("""COMPUTED_VALUE"""),6)</f>
        <v>6</v>
      </c>
      <c r="D40" s="0" t="str">
        <f aca="false">IFERROR(__xludf.dummyfunction("""COMPUTED_VALUE"""),"AICI202113-4-1| Generar una politica de descuento con los proveedores (01/abr/2021 - 30/jun/2021)")</f>
        <v>AICI202113-4-1| Generar una politica de descuento con los proveedores (01/abr/2021 - 30/jun/2021)</v>
      </c>
      <c r="E40" s="0" t="str">
        <f aca="false">IFERROR(__xludf.dummyfunction("""COMPUTED_VALUE"""),"Teniendo en cuenta la entrevista realizada el día 11-07-2023 (soportada en acta) a la directora financiera de la Entidad, Dra. Miriam Roncancio respecto a este hallazgo, indicó que no es posible implementar esta política debido que no cumple las caracterí"&amp;"sticas para quedar establecida como política institucional, tal como  determino en el comité de Gestión y Desempeño. La dirección financiera aporta certificación suscrita por la tesorera y la directora financiera donde refiere que no es posible aplicar un"&amp;"a política de descuentos, en razón a que la Entidad no cuenta con recursos financieros que le permita cancela la totalidad de facturación vencida en los plazos establecidos y solicitar descuentos por pronto pago a los proveedores. 
")</f>
        <v>Teniendo en cuenta la entrevista realizada el día 11-07-2023 (soportada en acta) a la directora financiera de la Entidad, Dra. Miriam Roncancio respecto a este hallazgo, indicó que no es posible implementar esta política debido que no cumple las características para quedar establecida como política institucional, tal como  determino en el comité de Gestión y Desempeño. La dirección financiera aporta certificación suscrita por la tesorera y la directora financiera donde refiere que no es posible aplicar una política de descuentos, en razón a que la Entidad no cuenta con recursos financieros que le permita cancela la totalidad de facturación vencida en los plazos establecidos y solicitar descuentos por pronto pago a los proveedores. 
</v>
      </c>
      <c r="F40" s="0" t="str">
        <f aca="false">IFERROR(__xludf.dummyfunction("""COMPUTED_VALUE"""),"Completo")</f>
        <v>Completo</v>
      </c>
      <c r="G40" s="0" t="str">
        <f aca="false">IFERROR(__xludf.dummyfunction("""COMPUTED_VALUE"""),"Sí")</f>
        <v>Sí</v>
      </c>
    </row>
    <row r="41" customFormat="false" ht="14.25" hidden="false" customHeight="false" outlineLevel="0" collapsed="false">
      <c r="A41" s="18" t="str">
        <f aca="false">IFERROR(MID(D41,1,FIND("|",D41)-1)&amp;"-"&amp;C41,"")</f>
        <v>AICI202113-7-1-6</v>
      </c>
      <c r="B41" s="19" t="n">
        <f aca="false">IFERROR(__xludf.dummyfunction("""COMPUTED_VALUE"""),45118)</f>
        <v>45118</v>
      </c>
      <c r="C41" s="0" t="n">
        <f aca="false">IFERROR(__xludf.dummyfunction("""COMPUTED_VALUE"""),6)</f>
        <v>6</v>
      </c>
      <c r="D41" s="0" t="str">
        <f aca="false">IFERROR(__xludf.dummyfunction("""COMPUTED_VALUE"""),"AICI202113-7-1| Crear mesas de trabajo con las areas involucradas en el proceso contable con el fin de actualizar el manual de politicas contables (01/abr/2021 - 01/jun/2021)")</f>
        <v>AICI202113-7-1| Crear mesas de trabajo con las areas involucradas en el proceso contable con el fin de actualizar el manual de politicas contables (01/abr/2021 - 01/jun/2021)</v>
      </c>
      <c r="E41" s="0" t="str">
        <f aca="false">IFERROR(__xludf.dummyfunction("""COMPUTED_VALUE"""),"Se evidenció mediante correo electrónico la socialización de la propuesta de modificación el Manual de Políticas contables enviado por la dirección financiera a los miembros de comité de sostenibilidad contable. Adicional en el plan de mejoramiento origin"&amp;"ado de la evaluación de control interno contable se incluye este hallazgo. Se determina que con la conformación de las mesas de trabajo, se de inicio a la actualización de dicho manual. ")</f>
        <v>Se evidenció mediante correo electrónico la socialización de la propuesta de modificación el Manual de Políticas contables enviado por la dirección financiera a los miembros de comité de sostenibilidad contable. Adicional en el plan de mejoramiento originado de la evaluación de control interno contable se incluye este hallazgo. Se determina que con la conformación de las mesas de trabajo, se de inicio a la actualización de dicho manual. </v>
      </c>
      <c r="F41" s="0" t="str">
        <f aca="false">IFERROR(__xludf.dummyfunction("""COMPUTED_VALUE"""),"Completo")</f>
        <v>Completo</v>
      </c>
      <c r="G41" s="0" t="str">
        <f aca="false">IFERROR(__xludf.dummyfunction("""COMPUTED_VALUE"""),"Sí")</f>
        <v>Sí</v>
      </c>
    </row>
    <row r="42" customFormat="false" ht="14.25" hidden="false" customHeight="false" outlineLevel="0" collapsed="false">
      <c r="A42" s="18" t="str">
        <f aca="false">IFERROR(MID(D42,1,FIND("|",D42)-1)&amp;"-"&amp;C42,"")</f>
        <v>AICI202113-2-1-6</v>
      </c>
      <c r="B42" s="19" t="n">
        <f aca="false">IFERROR(__xludf.dummyfunction("""COMPUTED_VALUE"""),45119)</f>
        <v>45119</v>
      </c>
      <c r="C42" s="0" t="n">
        <f aca="false">IFERROR(__xludf.dummyfunction("""COMPUTED_VALUE"""),6)</f>
        <v>6</v>
      </c>
      <c r="D42" s="0" t="str">
        <f aca="false">IFERROR(__xludf.dummyfunction("""COMPUTED_VALUE"""),"AICI202113-2-1| Diseñar un plan conjunto con las ares involucradas en el proceso contable para garantizar los soportes idoneos al momento de … (01/abr/2021 - 30/may/2021)")</f>
        <v>AICI202113-2-1| Diseñar un plan conjunto con las ares involucradas en el proceso contable para garantizar los soportes idoneos al momento de … (01/abr/2021 - 30/may/2021)</v>
      </c>
      <c r="E42" s="0" t="str">
        <f aca="false">IFERROR(__xludf.dummyfunction("""COMPUTED_VALUE"""),"A pesar de que se realizó mesa de trabajo (soportado en acta n.01) con la dirección financiera y el área contable, donde se estableció  el compromiso por parte de la Contadora de la Entidad en el envío de los comprobantes contables con los respectivos sop"&amp;"ortes por concepto de ajustes ordinarios realizados durante el segundo trimestre de la presente vigencia, presento incumplimiento, por lo tanto no se subsana el hallazgo y continua en estado atraso.   ")</f>
        <v>A pesar de que se realizó mesa de trabajo (soportado en acta n.01) con la dirección financiera y el área contable, donde se estableció  el compromiso por parte de la Contadora de la Entidad en el envío de los comprobantes contables con los respectivos soportes por concepto de ajustes ordinarios realizados durante el segundo trimestre de la presente vigencia, presento incumplimiento, por lo tanto no se subsana el hallazgo y continua en estado atraso.   </v>
      </c>
      <c r="F42" s="0" t="str">
        <f aca="false">IFERROR(__xludf.dummyfunction("""COMPUTED_VALUE"""),"Atrasado")</f>
        <v>Atrasado</v>
      </c>
    </row>
    <row r="43" customFormat="false" ht="14.25" hidden="false" customHeight="false" outlineLevel="0" collapsed="false">
      <c r="A43" s="18" t="str">
        <f aca="false">IFERROR(MID(D43,1,FIND("|",D43)-1)&amp;"-"&amp;C43,"")</f>
        <v>AICI202113-3-1-6</v>
      </c>
      <c r="B43" s="19" t="n">
        <f aca="false">IFERROR(__xludf.dummyfunction("""COMPUTED_VALUE"""),45119)</f>
        <v>45119</v>
      </c>
      <c r="C43" s="0" t="n">
        <f aca="false">IFERROR(__xludf.dummyfunction("""COMPUTED_VALUE"""),6)</f>
        <v>6</v>
      </c>
      <c r="D43" s="0" t="str">
        <f aca="false">IFERROR(__xludf.dummyfunction("""COMPUTED_VALUE"""),"AICI202113-3-1| El deterioro se incremento debido a que se dio un cambio de metodología en el calculo deteriorando al 100% la cartera &gt; 720 … (01/abr/2021 - 31/dic/2021)")</f>
        <v>AICI202113-3-1| El deterioro se incremento debido a que se dio un cambio de metodología en el calculo deteriorando al 100% la cartera &gt; 720 … (01/abr/2021 - 31/dic/2021)</v>
      </c>
      <c r="E43" s="0" t="str">
        <f aca="false">IFERROR(__xludf.dummyfunction("""COMPUTED_VALUE"""),"Al no publicarse los estados financieros con las notas contables de la Entidad, correspondiente al mes de mayo de 2023  y al reiterar este incumplimiento en la mesa de trabajo realizada el día 11-07-2023 con la dirección financiera y en donde la Contadora"&amp;" de la Subred Norte se comprometió en el envío de esta información financiera mediante correo institucional no dio cumplimiento, razón por la cual no existen evidencias que permitan el cierre de este hallazgo.")</f>
        <v>Al no publicarse los estados financieros con las notas contables de la Entidad, correspondiente al mes de mayo de 2023  y al reiterar este incumplimiento en la mesa de trabajo realizada el día 11-07-2023 con la dirección financiera y en donde la Contadora de la Subred Norte se comprometió en el envío de esta información financiera mediante correo institucional no dio cumplimiento, razón por la cual no existen evidencias que permitan el cierre de este hallazgo.</v>
      </c>
      <c r="F43" s="0" t="str">
        <f aca="false">IFERROR(__xludf.dummyfunction("""COMPUTED_VALUE"""),"Atrasado")</f>
        <v>Atrasado</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1814</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AICI202114-8-1-1</v>
      </c>
      <c r="B4" s="19" t="n">
        <f aca="false">IFERROR(__xludf.dummyfunction("""COMPUTED_VALUE"""),44658)</f>
        <v>44658</v>
      </c>
      <c r="C4" s="0" t="n">
        <f aca="false">IFERROR(__xludf.dummyfunction("""COMPUTED_VALUE"""),1)</f>
        <v>1</v>
      </c>
      <c r="D4" s="0" t="str">
        <f aca="false">IFERROR(__xludf.dummyfunction("""COMPUTED_VALUE"""),"AICI202114-8-1| Llevar a cabo la revisión del módulo de activos fijos para ajustar las fechas de ingreso y modelo de los automotores (01/nov/2021 - 31/mar/2022)")</f>
        <v>AICI202114-8-1| Llevar a cabo la revisión del módulo de activos fijos para ajustar las fechas de ingreso y modelo de los automotores (01/nov/2021 - 31/mar/2022)</v>
      </c>
      <c r="E4" s="0" t="str">
        <f aca="false">IFERROR(__xludf.dummyfunction("""COMPUTED_VALUE"""),"De acuerdo a la anterior acción se informa a esta oficina por   Nelson  Pérez  Auxiliar Administrativo de la oficina de Activos Fijos que esta acción se realizó  la respectiva revisión en el módulo de activos fijos observándose los ingresos y modelos de l"&amp;"os automotores se encuentra ajustado, sin embargo  no se da cumplimiento en su totalidad en lo referente a la actualización con respecto a la valorización de los automotores. 
Por lo anterior esta acción queda atrasada  en cuanto a su fecha de terminació"&amp;"n. Además se dio inicio de avance a tres acciones que se apertura para el segundo trimestre de 2022, la cual quedaran en proceso de desarrollo como se observa en el seguimiento a  este plan.
")</f>
        <v>De acuerdo a la anterior acción se informa a esta oficina por   Nelson  Pérez  Auxiliar Administrativo de la oficina de Activos Fijos que esta acción se realizó  la respectiva revisión en el módulo de activos fijos observándose los ingresos y modelos de los automotores se encuentra ajustado, sin embargo  no se da cumplimiento en su totalidad en lo referente a la actualización con respecto a la valorización de los automotores. 
Por lo anterior esta acción queda atrasada  en cuanto a su fecha de terminación. Además se dio inicio de avance a tres acciones que se apertura para el segundo trimestre de 2022, la cual quedaran en proceso de desarrollo como se observa en el seguimiento a  este plan.
</v>
      </c>
      <c r="F4" s="0" t="str">
        <f aca="false">IFERROR(__xludf.dummyfunction("""COMPUTED_VALUE"""),"Atrasado")</f>
        <v>Atrasado</v>
      </c>
    </row>
    <row r="5" customFormat="false" ht="14.25" hidden="false" customHeight="false" outlineLevel="0" collapsed="false">
      <c r="A5" s="18" t="str">
        <f aca="false">IFERROR(MID(D5,1,FIND("|",D5)-1)&amp;"-"&amp;C5,"")</f>
        <v>AICI202114-1-1-1</v>
      </c>
      <c r="B5" s="19" t="n">
        <f aca="false">IFERROR(__xludf.dummyfunction("""COMPUTED_VALUE"""),44658)</f>
        <v>44658</v>
      </c>
      <c r="C5" s="0" t="n">
        <f aca="false">IFERROR(__xludf.dummyfunction("""COMPUTED_VALUE"""),1)</f>
        <v>1</v>
      </c>
      <c r="D5" s="0" t="str">
        <f aca="false">IFERROR(__xludf.dummyfunction("""COMPUTED_VALUE"""),"AICI202114-1-1| Capacitar al recurso humano de mantenimiento del parque automotor por concepto de metodología para la administración del riesgo. (01/feb/2022 - 30/jul/2022)")</f>
        <v>AICI202114-1-1| Capacitar al recurso humano de mantenimiento del parque automotor por concepto de metodología para la administración del riesgo. (01/feb/2022 - 30/jul/2022)</v>
      </c>
      <c r="E5" s="0" t="str">
        <f aca="false">IFERROR(__xludf.dummyfunction("""COMPUTED_VALUE"""),"Se realizo  Capacitación al recurso humano de mantenimiento del parque automotor por concepto de metodología para la administración del riesgo.A la fecha se encuentra pendiente la evaluación para modificación de riesgos del proceso de mantenimiento vehícu"&amp;"los ya que según lo indico el funcionario del área de desarrollo institucional, dicho proceso se podrá llevar a cabo a partir del segundo trimestre del 2022")</f>
        <v>Se realizo  Capacitación al recurso humano de mantenimiento del parque automotor por concepto de metodología para la administración del riesgo.A la fecha se encuentra pendiente la evaluación para modificación de riesgos del proceso de mantenimiento vehículos ya que según lo indico el funcionario del área de desarrollo institucional, dicho proceso se podrá llevar a cabo a partir del segundo trimestre del 2022</v>
      </c>
      <c r="F5" s="0" t="str">
        <f aca="false">IFERROR(__xludf.dummyfunction("""COMPUTED_VALUE"""),"En desarrollo")</f>
        <v>En desarrollo</v>
      </c>
    </row>
    <row r="6" customFormat="false" ht="14.25" hidden="false" customHeight="false" outlineLevel="0" collapsed="false">
      <c r="A6" s="18" t="str">
        <f aca="false">IFERROR(MID(D6,1,FIND("|",D6)-1)&amp;"-"&amp;C6,"")</f>
        <v>AICI202114-2-1-1</v>
      </c>
      <c r="B6" s="19" t="n">
        <f aca="false">IFERROR(__xludf.dummyfunction("""COMPUTED_VALUE"""),44658)</f>
        <v>44658</v>
      </c>
      <c r="C6" s="0" t="n">
        <f aca="false">IFERROR(__xludf.dummyfunction("""COMPUTED_VALUE"""),1)</f>
        <v>1</v>
      </c>
      <c r="D6" s="0" t="str">
        <f aca="false">IFERROR(__xludf.dummyfunction("""COMPUTED_VALUE"""),"AICI202114-2-1| Actualizar el procedimiento  del manejo parque automotor y su normalización y aprobación por el área de calidad. (01/feb/2022 - 31/jul/2022)")</f>
        <v>AICI202114-2-1| Actualizar el procedimiento  del manejo parque automotor y su normalización y aprobación por el área de calidad. (01/feb/2022 - 31/jul/2022)</v>
      </c>
      <c r="E6" s="0" t="str">
        <f aca="false">IFERROR(__xludf.dummyfunction("""COMPUTED_VALUE"""),"Se actualizo,   normalizo y  se documento el  procedimiento para el manejo del parque automotor mediante:
INSTRUCTIVO MANTENIMIENTO PARQUE AUTOMOTOR - COD : AP-AT-I-30-01 de Marzo 30 de 2022")</f>
        <v>Se actualizo,   normalizo y  se documento el  procedimiento para el manejo del parque automotor mediante:
INSTRUCTIVO MANTENIMIENTO PARQUE AUTOMOTOR - COD : AP-AT-I-30-01 de Marzo 30 de 2022</v>
      </c>
      <c r="F6" s="0" t="str">
        <f aca="false">IFERROR(__xludf.dummyfunction("""COMPUTED_VALUE"""),"Completo")</f>
        <v>Completo</v>
      </c>
      <c r="G6" s="0" t="str">
        <f aca="false">IFERROR(__xludf.dummyfunction("""COMPUTED_VALUE"""),"Sí")</f>
        <v>Sí</v>
      </c>
    </row>
    <row r="7" customFormat="false" ht="14.25" hidden="false" customHeight="false" outlineLevel="0" collapsed="false">
      <c r="A7" s="18" t="str">
        <f aca="false">IFERROR(MID(D7,1,FIND("|",D7)-1)&amp;"-"&amp;C7,"")</f>
        <v>AICI202114-1-1-1</v>
      </c>
      <c r="B7" s="19" t="n">
        <f aca="false">IFERROR(__xludf.dummyfunction("""COMPUTED_VALUE"""),44658)</f>
        <v>44658</v>
      </c>
      <c r="C7" s="0" t="n">
        <f aca="false">IFERROR(__xludf.dummyfunction("""COMPUTED_VALUE"""),1)</f>
        <v>1</v>
      </c>
      <c r="D7" s="0" t="str">
        <f aca="false">IFERROR(__xludf.dummyfunction("""COMPUTED_VALUE"""),"AICI202114-1-1| Capacitar al recurso humano de mantenimiento del parque automotor por concepto de metodología para la administración del riesgo. (01/feb/2022 - 30/jul/2022)")</f>
        <v>AICI202114-1-1| Capacitar al recurso humano de mantenimiento del parque automotor por concepto de metodología para la administración del riesgo. (01/feb/2022 - 30/jul/2022)</v>
      </c>
      <c r="E7" s="0" t="str">
        <f aca="false">IFERROR(__xludf.dummyfunction("""COMPUTED_VALUE"""),"Se realizo  Capacitación al recurso humano de mantenimiento del parque automotor por concepto de metodología para la administración del riesgo.A la fecha se encuentra pendiente la evaluación para modificación de riesgos del proceso de mantenimiento vehícu"&amp;"los ya que según lo indico el funcionario del área de desarrollo institucional, dicho proceso se podrá llevar a cabo a partir del segundo trimestre del 2022")</f>
        <v>Se realizo  Capacitación al recurso humano de mantenimiento del parque automotor por concepto de metodología para la administración del riesgo.A la fecha se encuentra pendiente la evaluación para modificación de riesgos del proceso de mantenimiento vehículos ya que según lo indico el funcionario del área de desarrollo institucional, dicho proceso se podrá llevar a cabo a partir del segundo trimestre del 2022</v>
      </c>
      <c r="F7" s="0" t="str">
        <f aca="false">IFERROR(__xludf.dummyfunction("""COMPUTED_VALUE"""),"En desarrollo")</f>
        <v>En desarrollo</v>
      </c>
    </row>
    <row r="8" customFormat="false" ht="14.25" hidden="false" customHeight="false" outlineLevel="0" collapsed="false">
      <c r="A8" s="18" t="str">
        <f aca="false">IFERROR(MID(D8,1,FIND("|",D8)-1)&amp;"-"&amp;C8,"")</f>
        <v>AICI202114-4-1-1</v>
      </c>
      <c r="B8" s="19" t="n">
        <f aca="false">IFERROR(__xludf.dummyfunction("""COMPUTED_VALUE"""),44658)</f>
        <v>44658</v>
      </c>
      <c r="C8" s="0" t="n">
        <f aca="false">IFERROR(__xludf.dummyfunction("""COMPUTED_VALUE"""),1)</f>
        <v>1</v>
      </c>
      <c r="D8" s="0" t="str">
        <f aca="false">IFERROR(__xludf.dummyfunction("""COMPUTED_VALUE"""),"AICI202114-4-1| Realizar un muestreo con valores y placas de las 5 cotizaciones con mayor valor a fin de verificar la exactitud en los valores (13/feb/2022 - 30/nov/2022)")</f>
        <v>AICI202114-4-1| Realizar un muestreo con valores y placas de las 5 cotizaciones con mayor valor a fin de verificar la exactitud en los valores (13/feb/2022 - 30/nov/2022)</v>
      </c>
      <c r="E8" s="0" t="str">
        <f aca="false">IFERROR(__xludf.dummyfunction("""COMPUTED_VALUE"""),"Se lleva el control de verificación en el formato de revisión Post - Facturación,  en donde se verifican valores facturados con los valores de la oferta económica de los Contratos de mantenimiento Vehicular. Se anexan soportes de facturas (FE1548 - FE1549"&amp;" - FE1551 - FE1550 - FE1545 - FE1546 - FE1547 -FE1548 - FE1549)")</f>
        <v>Se lleva el control de verificación en el formato de revisión Post - Facturación,  en donde se verifican valores facturados con los valores de la oferta económica de los Contratos de mantenimiento Vehicular. Se anexan soportes de facturas (FE1548 - FE1549 - FE1551 - FE1550 - FE1545 - FE1546 - FE1547 -FE1548 - FE1549)</v>
      </c>
      <c r="F8" s="0" t="str">
        <f aca="false">IFERROR(__xludf.dummyfunction("""COMPUTED_VALUE"""),"En desarrollo")</f>
        <v>En desarrollo</v>
      </c>
    </row>
    <row r="9" customFormat="false" ht="14.25" hidden="false" customHeight="false" outlineLevel="0" collapsed="false">
      <c r="A9" s="18" t="str">
        <f aca="false">IFERROR(MID(D9,1,FIND("|",D9)-1)&amp;"-"&amp;C9,"")</f>
        <v>AICI202114-9-1-1</v>
      </c>
      <c r="B9" s="19" t="n">
        <f aca="false">IFERROR(__xludf.dummyfunction("""COMPUTED_VALUE"""),44658)</f>
        <v>44658</v>
      </c>
      <c r="C9" s="0" t="n">
        <f aca="false">IFERROR(__xludf.dummyfunction("""COMPUTED_VALUE"""),1)</f>
        <v>1</v>
      </c>
      <c r="D9" s="0" t="str">
        <f aca="false">IFERROR(__xludf.dummyfunction("""COMPUTED_VALUE"""),"AICI202114-9-1| Realizar el proceso de liquidación de los contratos 022 y 044 de 2020 (01/dic/2021 - 30/jun/2022)")</f>
        <v>AICI202114-9-1| Realizar el proceso de liquidación de los contratos 022 y 044 de 2020 (01/dic/2021 - 30/jun/2022)</v>
      </c>
      <c r="E9" s="0" t="str">
        <f aca="false">IFERROR(__xludf.dummyfunction("""COMPUTED_VALUE"""),"Se enviaron los respectivos informes finales de ejecución a la oficina de presupuesto para su complementación con datos de tesorería; informes que fueron enviados por presupuesto a la oficina de contratación.  (Se adjuntan Informes finales de los mismos c"&amp;"ontratos.)")</f>
        <v>Se enviaron los respectivos informes finales de ejecución a la oficina de presupuesto para su complementación con datos de tesorería; informes que fueron enviados por presupuesto a la oficina de contratación.  (Se adjuntan Informes finales de los mismos contratos.)</v>
      </c>
      <c r="F9" s="0" t="str">
        <f aca="false">IFERROR(__xludf.dummyfunction("""COMPUTED_VALUE"""),"En desarrollo")</f>
        <v>En desarrollo</v>
      </c>
    </row>
    <row r="10" customFormat="false" ht="14.25" hidden="false" customHeight="false" outlineLevel="0" collapsed="false">
      <c r="A10" s="18" t="str">
        <f aca="false">IFERROR(MID(D10,1,FIND("|",D10)-1)&amp;"-"&amp;C10,"")</f>
        <v>AICI202114-5-1-2</v>
      </c>
      <c r="B10" s="19" t="n">
        <f aca="false">IFERROR(__xludf.dummyfunction("""COMPUTED_VALUE"""),44753)</f>
        <v>44753</v>
      </c>
      <c r="C10" s="0" t="n">
        <f aca="false">IFERROR(__xludf.dummyfunction("""COMPUTED_VALUE"""),2)</f>
        <v>2</v>
      </c>
      <c r="D10" s="0" t="str">
        <f aca="false">IFERROR(__xludf.dummyfunction("""COMPUTED_VALUE"""),"AICI202114-5-1| Realizar el proceso de legalización estos bienes vehiculares para dar de baja de los automotores que se encuentran en esas ... (01/feb/2021 - 30/jun/2022)")</f>
        <v>AICI202114-5-1| Realizar el proceso de legalización estos bienes vehiculares para dar de baja de los automotores que se encuentran en esas ... (01/feb/2021 - 30/jun/2022)</v>
      </c>
      <c r="E10" s="0" t="str">
        <f aca="false">IFERROR(__xludf.dummyfunction("""COMPUTED_VALUE"""),"A la fecha del presente seguimiento , no se recibió información  ni soportes de cumplimiento de la acción objeto del Plan de mejoramiento. ")</f>
        <v>A la fecha del presente seguimiento , no se recibió información  ni soportes de cumplimiento de la acción objeto del Plan de mejoramiento. </v>
      </c>
      <c r="F10" s="0" t="str">
        <f aca="false">IFERROR(__xludf.dummyfunction("""COMPUTED_VALUE"""),"Atrasado")</f>
        <v>Atrasado</v>
      </c>
    </row>
    <row r="11" customFormat="false" ht="14.25" hidden="false" customHeight="false" outlineLevel="0" collapsed="false">
      <c r="A11" s="18" t="str">
        <f aca="false">IFERROR(MID(D11,1,FIND("|",D11)-1)&amp;"-"&amp;C11,"")</f>
        <v>AICI202114-6-1-2</v>
      </c>
      <c r="B11" s="19" t="n">
        <f aca="false">IFERROR(__xludf.dummyfunction("""COMPUTED_VALUE"""),44753)</f>
        <v>44753</v>
      </c>
      <c r="C11" s="0" t="n">
        <f aca="false">IFERROR(__xludf.dummyfunction("""COMPUTED_VALUE"""),2)</f>
        <v>2</v>
      </c>
      <c r="D11" s="0" t="str">
        <f aca="false">IFERROR(__xludf.dummyfunction("""COMPUTED_VALUE"""),"AICI202114-6-1| Realizar estudio de costo beneficio para determinar la viabilidad de mantener operativo el  vehículo, o recomendar su baja.  (10/feb/2020 - 30/jun/2022)")</f>
        <v>AICI202114-6-1| Realizar estudio de costo beneficio para determinar la viabilidad de mantener operativo el  vehículo, o recomendar su baja.  (10/feb/2020 - 30/jun/2022)</v>
      </c>
      <c r="E11"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11" s="0" t="str">
        <f aca="false">IFERROR(__xludf.dummyfunction("""COMPUTED_VALUE"""),"Atrasado")</f>
        <v>Atrasado</v>
      </c>
    </row>
    <row r="12" customFormat="false" ht="14.25" hidden="false" customHeight="false" outlineLevel="0" collapsed="false">
      <c r="A12" s="18" t="str">
        <f aca="false">IFERROR(MID(D12,1,FIND("|",D12)-1)&amp;"-"&amp;C12,"")</f>
        <v>AICI202114-8-1-2</v>
      </c>
      <c r="B12" s="19" t="n">
        <f aca="false">IFERROR(__xludf.dummyfunction("""COMPUTED_VALUE"""),44753)</f>
        <v>44753</v>
      </c>
      <c r="C12" s="0" t="n">
        <f aca="false">IFERROR(__xludf.dummyfunction("""COMPUTED_VALUE"""),2)</f>
        <v>2</v>
      </c>
      <c r="D12" s="0" t="str">
        <f aca="false">IFERROR(__xludf.dummyfunction("""COMPUTED_VALUE"""),"AICI202114-8-1| Llevar a cabo la revisión del módulo de activos fijos para ajustar las fechas de ingreso y modelo de los automotores (01/nov/2021 - 31/mar/2022)")</f>
        <v>AICI202114-8-1| Llevar a cabo la revisión del módulo de activos fijos para ajustar las fechas de ingreso y modelo de los automotores (01/nov/2021 - 31/mar/2022)</v>
      </c>
      <c r="E12" s="0" t="str">
        <f aca="false">IFERROR(__xludf.dummyfunction("""COMPUTED_VALUE"""),"A la fecha del presente seguimiento, no se recibió información  ni soportes de cumplimiento de la acción objeto del Plan de mejoramiento.")</f>
        <v>A la fecha del presente seguimiento, no se recibió información  ni soportes de cumplimiento de la acción objeto del Plan de mejoramiento.</v>
      </c>
      <c r="F12" s="0" t="str">
        <f aca="false">IFERROR(__xludf.dummyfunction("""COMPUTED_VALUE"""),"Atrasado")</f>
        <v>Atrasado</v>
      </c>
    </row>
    <row r="13" customFormat="false" ht="14.25" hidden="false" customHeight="false" outlineLevel="0" collapsed="false">
      <c r="A13" s="18" t="str">
        <f aca="false">IFERROR(MID(D13,1,FIND("|",D13)-1)&amp;"-"&amp;C13,"")</f>
        <v>AICI202114-1-2-4</v>
      </c>
      <c r="B13" s="19" t="n">
        <f aca="false">IFERROR(__xludf.dummyfunction("""COMPUTED_VALUE"""),44943)</f>
        <v>44943</v>
      </c>
      <c r="C13" s="0" t="n">
        <f aca="false">IFERROR(__xludf.dummyfunction("""COMPUTED_VALUE"""),4)</f>
        <v>4</v>
      </c>
      <c r="D13" s="0" t="str">
        <f aca="false">IFERROR(__xludf.dummyfunction("""COMPUTED_VALUE"""),"AICI202114-1-2| Realizar actualización y seguimiento a los mapas de riesgo del proceso (01/feb/2022 - 30/jul/2022)")</f>
        <v>AICI202114-1-2| Realizar actualización y seguimiento a los mapas de riesgo del proceso (01/feb/2022 - 30/jul/2022)</v>
      </c>
      <c r="E13" s="0" t="str">
        <f aca="false">IFERROR(__xludf.dummyfunction("""COMPUTED_VALUE"""),"Se realizó Jornada de Actualización de Riesgos Institucionales 2022 - 2023 - Subred Norte  E.S.E  en la que se  relacionó los temas como: Capacitación  en conceptos establecidos por la normatividad interna y externa de la Administración del Riesgo y su ac"&amp;"tualización de acuerdo a la  metodología establecida para el levantamiento, evaluación, valoración y seguimiento a los riesgos identificados en la Subred.")</f>
        <v>Se realizó Jornada de Actualización de Riesgos Institucionales 2022 - 2023 - Subred Norte  E.S.E  en la que se  relacionó los temas como: Capacitación  en conceptos establecidos por la normatividad interna y externa de la Administración del Riesgo y su actualización de acuerdo a la  metodología establecida para el levantamiento, evaluación, valoración y seguimiento a los riesgos identificados en la Subred.</v>
      </c>
      <c r="F13" s="0" t="str">
        <f aca="false">IFERROR(__xludf.dummyfunction("""COMPUTED_VALUE"""),"Completo")</f>
        <v>Completo</v>
      </c>
      <c r="G13" s="0" t="str">
        <f aca="false">IFERROR(__xludf.dummyfunction("""COMPUTED_VALUE"""),"Sí")</f>
        <v>Sí</v>
      </c>
    </row>
    <row r="14" customFormat="false" ht="14.25" hidden="false" customHeight="false" outlineLevel="0" collapsed="false">
      <c r="A14" s="18" t="str">
        <f aca="false">IFERROR(MID(D14,1,FIND("|",D14)-1)&amp;"-"&amp;C14,"")</f>
        <v>AICI202114-1-1-3</v>
      </c>
      <c r="B14" s="19" t="n">
        <f aca="false">IFERROR(__xludf.dummyfunction("""COMPUTED_VALUE"""),44840)</f>
        <v>44840</v>
      </c>
      <c r="C14" s="0" t="n">
        <f aca="false">IFERROR(__xludf.dummyfunction("""COMPUTED_VALUE"""),3)</f>
        <v>3</v>
      </c>
      <c r="D14" s="0" t="str">
        <f aca="false">IFERROR(__xludf.dummyfunction("""COMPUTED_VALUE"""),"AICI202114-1-1| Capacitar al recurso humano de mantenimiento del parque automotor por concepto de metodología para la administración del riesgo. (01/feb/2022 - 30/jul/2022)")</f>
        <v>AICI202114-1-1| Capacitar al recurso humano de mantenimiento del parque automotor por concepto de metodología para la administración del riesgo. (01/feb/2022 - 30/jul/2022)</v>
      </c>
      <c r="E14" s="0" t="str">
        <f aca="false">IFERROR(__xludf.dummyfunction("""COMPUTED_VALUE"""),"Se realizo  Capacitación al recurso humano de mantenimiento del parque automotor por concepto de metodología para la administración del riesgo.(Acta de Reunión 30/09/2022).A la fecha se encuentra pendiente la evaluación para modificación de riesgos del pr"&amp;"oceso de mantenimiento vehículos ya que según lo indico el funcionario del área de desarrollo institucional, dicho proceso se podrá llevar a cabo a partir del cuarto trimestre del 2022.")</f>
        <v>Se realizo  Capacitación al recurso humano de mantenimiento del parque automotor por concepto de metodología para la administración del riesgo.(Acta de Reunión 30/09/2022).A la fecha se encuentra pendiente la evaluación para modificación de riesgos del proceso de mantenimiento vehículos ya que según lo indico el funcionario del área de desarrollo institucional, dicho proceso se podrá llevar a cabo a partir del cuarto trimestre del 2022.</v>
      </c>
      <c r="F14" s="0" t="str">
        <f aca="false">IFERROR(__xludf.dummyfunction("""COMPUTED_VALUE"""),"Completo")</f>
        <v>Completo</v>
      </c>
      <c r="G14" s="0" t="str">
        <f aca="false">IFERROR(__xludf.dummyfunction("""COMPUTED_VALUE"""),"Sí")</f>
        <v>Sí</v>
      </c>
    </row>
    <row r="15" customFormat="false" ht="14.25" hidden="false" customHeight="false" outlineLevel="0" collapsed="false">
      <c r="A15" s="18" t="str">
        <f aca="false">IFERROR(MID(D15,1,FIND("|",D15)-1)&amp;"-"&amp;C15,"")</f>
        <v>AICI202114-1-2-3</v>
      </c>
      <c r="B15" s="19" t="n">
        <f aca="false">IFERROR(__xludf.dummyfunction("""COMPUTED_VALUE"""),44840)</f>
        <v>44840</v>
      </c>
      <c r="C15" s="0" t="n">
        <f aca="false">IFERROR(__xludf.dummyfunction("""COMPUTED_VALUE"""),3)</f>
        <v>3</v>
      </c>
      <c r="D15" s="0" t="str">
        <f aca="false">IFERROR(__xludf.dummyfunction("""COMPUTED_VALUE"""),"AICI202114-1-2| Realizar actualización y seguimiento a los mapas de riesgo del proceso (01/feb/2022 - 30/jul/2022)")</f>
        <v>AICI202114-1-2| Realizar actualización y seguimiento a los mapas de riesgo del proceso (01/feb/2022 - 30/jul/2022)</v>
      </c>
      <c r="E15" s="0" t="str">
        <f aca="false">IFERROR(__xludf.dummyfunction("""COMPUTED_VALUE"""),"Se realizo  Capacitación al recurso humano de mantenimiento del parque automotor por concepto de metodología para la administración del riesgo.(Acta de Reunión 30/09/2022).A la fecha se encuentra pendiente la evaluación para modificación de riesgos del pr"&amp;"oceso de mantenimiento vehículos ya que según lo indico el funcionario del área de desarrollo institucional, dicho proceso se podrá llevar a cabo a partir del cuarto trimestre del 2022.")</f>
        <v>Se realizo  Capacitación al recurso humano de mantenimiento del parque automotor por concepto de metodología para la administración del riesgo.(Acta de Reunión 30/09/2022).A la fecha se encuentra pendiente la evaluación para modificación de riesgos del proceso de mantenimiento vehículos ya que según lo indico el funcionario del área de desarrollo institucional, dicho proceso se podrá llevar a cabo a partir del cuarto trimestre del 2022.</v>
      </c>
      <c r="F15" s="0" t="str">
        <f aca="false">IFERROR(__xludf.dummyfunction("""COMPUTED_VALUE"""),"Atrasado")</f>
        <v>Atrasado</v>
      </c>
    </row>
    <row r="16" customFormat="false" ht="14.25" hidden="false" customHeight="false" outlineLevel="0" collapsed="false">
      <c r="A16" s="18" t="str">
        <f aca="false">IFERROR(MID(D16,1,FIND("|",D16)-1)&amp;"-"&amp;C16,"")</f>
        <v>AICI202114-3-1-3</v>
      </c>
      <c r="B16" s="19" t="n">
        <f aca="false">IFERROR(__xludf.dummyfunction("""COMPUTED_VALUE"""),44840)</f>
        <v>44840</v>
      </c>
      <c r="C16" s="0" t="n">
        <f aca="false">IFERROR(__xludf.dummyfunction("""COMPUTED_VALUE"""),3)</f>
        <v>3</v>
      </c>
      <c r="D16" s="0" t="str">
        <f aca="false">IFERROR(__xludf.dummyfunction("""COMPUTED_VALUE"""),"AICI202114-3-1| Solicitar al taller los soportes de las cotizaciones con el sello ""Aprobado"" con el fin de evidenciar la validación de la cotización (13/feb/2022 - 30/nov/2022)")</f>
        <v>AICI202114-3-1| Solicitar al taller los soportes de las cotizaciones con el sello "Aprobado" con el fin de evidenciar la validación de la cotización (13/feb/2022 - 30/nov/2022)</v>
      </c>
      <c r="E16" s="0" t="str">
        <f aca="false">IFERROR(__xludf.dummyfunction("""COMPUTED_VALUE"""),"Para esta acción  se obtuvieron soportes de evidencia  de las cotizaciones con los  con el sello de Aprobación (Cotizaciones 67652-Abril 28/22  - 67648 Mayo 9/22 - 67711 Mayo 7/22)")</f>
        <v>Para esta acción  se obtuvieron soportes de evidencia  de las cotizaciones con los  con el sello de Aprobación (Cotizaciones 67652-Abril 28/22  - 67648 Mayo 9/22 - 67711 Mayo 7/22)</v>
      </c>
      <c r="F16" s="0" t="str">
        <f aca="false">IFERROR(__xludf.dummyfunction("""COMPUTED_VALUE"""),"Completo")</f>
        <v>Completo</v>
      </c>
      <c r="G16" s="0" t="str">
        <f aca="false">IFERROR(__xludf.dummyfunction("""COMPUTED_VALUE"""),"Sí")</f>
        <v>Sí</v>
      </c>
    </row>
    <row r="17" customFormat="false" ht="14.25" hidden="false" customHeight="false" outlineLevel="0" collapsed="false">
      <c r="A17" s="18" t="str">
        <f aca="false">IFERROR(MID(D17,1,FIND("|",D17)-1)&amp;"-"&amp;C17,"")</f>
        <v>AICI202114-4-1-3</v>
      </c>
      <c r="B17" s="19" t="n">
        <f aca="false">IFERROR(__xludf.dummyfunction("""COMPUTED_VALUE"""),44840)</f>
        <v>44840</v>
      </c>
      <c r="C17" s="0" t="n">
        <f aca="false">IFERROR(__xludf.dummyfunction("""COMPUTED_VALUE"""),3)</f>
        <v>3</v>
      </c>
      <c r="D17" s="0" t="str">
        <f aca="false">IFERROR(__xludf.dummyfunction("""COMPUTED_VALUE"""),"AICI202114-4-1| Realizar un muestreo con valores y placas de las 5 cotizaciones con mayor valor a fin de verificar la exactitud en los valores (13/feb/2022 - 30/nov/2022)")</f>
        <v>AICI202114-4-1| Realizar un muestreo con valores y placas de las 5 cotizaciones con mayor valor a fin de verificar la exactitud en los valores (13/feb/2022 - 30/nov/2022)</v>
      </c>
      <c r="E17" s="0" t="str">
        <f aca="false">IFERROR(__xludf.dummyfunction("""COMPUTED_VALUE"""),"Se lleva el control de verificación en el formato de revisión Post - Facturación,  en donde se verifican valores facturados con los valores de la oferta económica de los Contratos de mantenimiento Vehicular. Se anexan soportes de facturas FE1770 - FE1771-"&amp;"FE1772 y  FE1770 - FE1771. Pendiente de los soportes debito -Crédito de la factura.")</f>
        <v>Se lleva el control de verificación en el formato de revisión Post - Facturación,  en donde se verifican valores facturados con los valores de la oferta económica de los Contratos de mantenimiento Vehicular. Se anexan soportes de facturas FE1770 - FE1771-FE1772 y  FE1770 - FE1771. Pendiente de los soportes debito -Crédito de la factura.</v>
      </c>
      <c r="F17" s="0" t="str">
        <f aca="false">IFERROR(__xludf.dummyfunction("""COMPUTED_VALUE"""),"En desarrollo")</f>
        <v>En desarrollo</v>
      </c>
    </row>
    <row r="18" customFormat="false" ht="14.25" hidden="false" customHeight="false" outlineLevel="0" collapsed="false">
      <c r="A18" s="18" t="str">
        <f aca="false">IFERROR(MID(D18,1,FIND("|",D18)-1)&amp;"-"&amp;C18,"")</f>
        <v>AICI202114-5-1-3</v>
      </c>
      <c r="B18" s="19" t="n">
        <f aca="false">IFERROR(__xludf.dummyfunction("""COMPUTED_VALUE"""),44840)</f>
        <v>44840</v>
      </c>
      <c r="C18" s="0" t="n">
        <f aca="false">IFERROR(__xludf.dummyfunction("""COMPUTED_VALUE"""),3)</f>
        <v>3</v>
      </c>
      <c r="D18" s="0" t="str">
        <f aca="false">IFERROR(__xludf.dummyfunction("""COMPUTED_VALUE"""),"AICI202114-5-1| Realizar el proceso de legalización estos bienes vehiculares para dar de baja de los automotores que se encuentran en esas ... (01/feb/2021 - 30/jun/2022)")</f>
        <v>AICI202114-5-1| Realizar el proceso de legalización estos bienes vehiculares para dar de baja de los automotores que se encuentran en esas ... (01/feb/2021 - 30/jun/2022)</v>
      </c>
      <c r="E18" s="0" t="str">
        <f aca="false">IFERROR(__xludf.dummyfunction("""COMPUTED_VALUE"""),"Para la móvil OBG 943 se solicitó un certificado de tradición y libertad en cual se puede observar que este vehículo no registra asuntos pendientes, de transito ni judiciales. Esta móvil que fue dada de baja por el hospital de SUBA se incluirá en el lista"&amp;"do de las ambulancias que serán objeto de desintegración debido a su estado de deterioro. El proceso de desintegración se llevara a cabo mediante la contratación de un intermediario especializado en el tema.
La móvil OBG-057 cuenta con concepto de baja po"&amp;"r parte del área de mantenimiento de vehículos y se encuentra en proceso para dar de baja por parte del comité de inventarios y posterior desintegración.
La móvil OBC-571  se encuentra en proceso de devolución al FONDO LOCAL DE ENGATIVA, por ser los propi"&amp;"etarios de esta móvil y será llevada a proceso de baja por estos mismos
")</f>
        <v>Para la móvil OBG 943 se solicitó un certificado de tradición y libertad en cual se puede observar que este vehículo no registra asuntos pendientes, de transito ni judiciales. Esta móvil que fue dada de baja por el hospital de SUBA se incluirá en el listado de las ambulancias que serán objeto de desintegración debido a su estado de deterioro. El proceso de desintegración se llevara a cabo mediante la contratación de un intermediario especializado en el tema.
La móvil OBG-057 cuenta con concepto de baja por parte del área de mantenimiento de vehículos y se encuentra en proceso para dar de baja por parte del comité de inventarios y posterior desintegración.
La móvil OBC-571  se encuentra en proceso de devolución al FONDO LOCAL DE ENGATIVA, por ser los propietarios de esta móvil y será llevada a proceso de baja por estos mismos
</v>
      </c>
      <c r="F18" s="0" t="str">
        <f aca="false">IFERROR(__xludf.dummyfunction("""COMPUTED_VALUE"""),"Atrasado")</f>
        <v>Atrasado</v>
      </c>
    </row>
    <row r="19" customFormat="false" ht="14.25" hidden="false" customHeight="false" outlineLevel="0" collapsed="false">
      <c r="A19" s="18" t="str">
        <f aca="false">IFERROR(MID(D19,1,FIND("|",D19)-1)&amp;"-"&amp;C19,"")</f>
        <v>AICI202114-6-1-3</v>
      </c>
      <c r="B19" s="19" t="n">
        <f aca="false">IFERROR(__xludf.dummyfunction("""COMPUTED_VALUE"""),44840)</f>
        <v>44840</v>
      </c>
      <c r="C19" s="0" t="n">
        <f aca="false">IFERROR(__xludf.dummyfunction("""COMPUTED_VALUE"""),3)</f>
        <v>3</v>
      </c>
      <c r="D19" s="0" t="str">
        <f aca="false">IFERROR(__xludf.dummyfunction("""COMPUTED_VALUE"""),"AICI202114-6-1| Realizar estudio de costo beneficio para determinar la viabilidad de mantener operativo el  vehículo, o recomendar su baja.  (10/feb/2020 - 30/jun/2022)")</f>
        <v>AICI202114-6-1| Realizar estudio de costo beneficio para determinar la viabilidad de mantener operativo el  vehículo, o recomendar su baja.  (10/feb/2020 - 30/jun/2022)</v>
      </c>
      <c r="E19" s="0" t="str">
        <f aca="false">IFERROR(__xludf.dummyfunction("""COMPUTED_VALUE"""),"La Subred Norte hizo entrega a la Subred Centro Oriente de 22 ambulancias que administraba en comodato según contrato   002-BS-0001—201. Esta devolución se realizó en el mes de septiembre de 2021. Las móviles modelos 2015 y anteriores, también se retiraro"&amp;"n del contrato de mantenimiento mecánico, con lo cual ya no fueron objeto de intervenciones por reparación de parte del taller, disminuyendo así, costos de mantenimiento. (Se anexa acta de entrega de las ambulancias en comodato)    
Dada la renovación por"&amp;" la Ministerio de la Protección Social y  la SDS del parque automotor de ambulancias  a la Subred Norte ESE  con vehículos nuevos 0 Km, se llevo a cabo el proceso de baja de 39 ambulancias, las cuales cuentan con concepto de baja debido a su estado de dañ"&amp;"o y por relación costo beneficio para su operación. Estas móviles, por indicación de la SDS, se darán de baja a través del proceso de desintegración. El proceso de baja y desintegración de las misma está siendo presentado al comité de inventarios para con"&amp;"tar con su recomendación y posterior resolución de baja y desintegración. (Se anexa relación de móviles para baja presentadas a comité de inventarios)")</f>
        <v>La Subred Norte hizo entrega a la Subred Centro Oriente de 22 ambulancias que administraba en comodato según contrato   002-BS-0001—201. Esta devolución se realizó en el mes de septiembre de 2021. Las móviles modelos 2015 y anteriores, también se retiraron del contrato de mantenimiento mecánico, con lo cual ya no fueron objeto de intervenciones por reparación de parte del taller, disminuyendo así, costos de mantenimiento. (Se anexa acta de entrega de las ambulancias en comodato)    
Dada la renovación por la Ministerio de la Protección Social y  la SDS del parque automotor de ambulancias  a la Subred Norte ESE  con vehículos nuevos 0 Km, se llevo a cabo el proceso de baja de 39 ambulancias, las cuales cuentan con concepto de baja debido a su estado de daño y por relación costo beneficio para su operación. Estas móviles, por indicación de la SDS, se darán de baja a través del proceso de desintegración. El proceso de baja y desintegración de las misma está siendo presentado al comité de inventarios para contar con su recomendación y posterior resolución de baja y desintegración. (Se anexa relación de móviles para baja presentadas a comité de inventarios)</v>
      </c>
      <c r="F19" s="0" t="str">
        <f aca="false">IFERROR(__xludf.dummyfunction("""COMPUTED_VALUE"""),"Atrasado")</f>
        <v>Atrasado</v>
      </c>
    </row>
    <row r="20" customFormat="false" ht="14.25" hidden="false" customHeight="false" outlineLevel="0" collapsed="false">
      <c r="A20" s="18" t="str">
        <f aca="false">IFERROR(MID(D20,1,FIND("|",D20)-1)&amp;"-"&amp;C20,"")</f>
        <v>AICI202114-7-1-3</v>
      </c>
      <c r="B20" s="19" t="n">
        <f aca="false">IFERROR(__xludf.dummyfunction("""COMPUTED_VALUE"""),44840)</f>
        <v>44840</v>
      </c>
      <c r="C20" s="0" t="n">
        <f aca="false">IFERROR(__xludf.dummyfunction("""COMPUTED_VALUE"""),3)</f>
        <v>3</v>
      </c>
      <c r="D20" s="0" t="str">
        <f aca="false">IFERROR(__xludf.dummyfunction("""COMPUTED_VALUE"""),"AICI202114-7-1| Implementar dentro de la base de datos de los vehiculos un  formato de  registro de los servicios facturados con el fin de ... (01/feb/2022 - 31/oct/2022)")</f>
        <v>AICI202114-7-1| Implementar dentro de la base de datos de los vehiculos un  formato de  registro de los servicios facturados con el fin de ... (01/feb/2022 - 31/oct/2022)</v>
      </c>
      <c r="E20" s="0" t="str">
        <f aca="false">IFERROR(__xludf.dummyfunction("""COMPUTED_VALUE"""),"Para esta acción  los respectivos  soportes se  evidencian  en  la base de datos del Drive de los Vehículos  de mantenimiento contratado por la Subred Norte ESE  donde se guarda todos soportes de mantenimiento  realizados a cada vehículo para así poder va"&amp;"lidar la respectivas garantías de los trabajos realizados con anterioridad.
La información se encuentra en una base de datos la cual se podrá evidenciar en el momento que se requiera y  se adjunta la  Dirección de Drive.https://docs.google.com/spreadsheet"&amp;"s/d/14Vv_3eGyDNAx9OJtz49aLgG8fiLZxNXF9bnaw31vlDE/edit#gid=296123363")</f>
        <v>Para esta acción  los respectivos  soportes se  evidencian  en  la base de datos del Drive de los Vehículos  de mantenimiento contratado por la Subred Norte ESE  donde se guarda todos soportes de mantenimiento  realizados a cada vehículo para así poder validar la respectivas garantías de los trabajos realizados con anterioridad.
La información se encuentra en una base de datos la cual se podrá evidenciar en el momento que se requiera y  se adjunta la  Dirección de Drive.https://docs.google.com/spreadsheets/d/14Vv_3eGyDNAx9OJtz49aLgG8fiLZxNXF9bnaw31vlDE/edit#gid=296123363</v>
      </c>
      <c r="F20" s="0" t="str">
        <f aca="false">IFERROR(__xludf.dummyfunction("""COMPUTED_VALUE"""),"Completo")</f>
        <v>Completo</v>
      </c>
      <c r="G20" s="0" t="str">
        <f aca="false">IFERROR(__xludf.dummyfunction("""COMPUTED_VALUE"""),"Sí")</f>
        <v>Sí</v>
      </c>
    </row>
    <row r="21" customFormat="false" ht="14.25" hidden="false" customHeight="false" outlineLevel="0" collapsed="false">
      <c r="A21" s="18" t="str">
        <f aca="false">IFERROR(MID(D21,1,FIND("|",D21)-1)&amp;"-"&amp;C21,"")</f>
        <v>AICI202114-8-1-3</v>
      </c>
      <c r="B21" s="19" t="n">
        <f aca="false">IFERROR(__xludf.dummyfunction("""COMPUTED_VALUE"""),44840)</f>
        <v>44840</v>
      </c>
      <c r="C21" s="0" t="n">
        <f aca="false">IFERROR(__xludf.dummyfunction("""COMPUTED_VALUE"""),3)</f>
        <v>3</v>
      </c>
      <c r="D21" s="0" t="str">
        <f aca="false">IFERROR(__xludf.dummyfunction("""COMPUTED_VALUE"""),"AICI202114-8-1| Llevar a cabo la revisión del módulo de activos fijos para ajustar las fechas de ingreso y modelo de los automotores (01/nov/2021 - 31/mar/2022)")</f>
        <v>AICI202114-8-1| Llevar a cabo la revisión del módulo de activos fijos para ajustar las fechas de ingreso y modelo de los automotores (01/nov/2021 - 31/mar/2022)</v>
      </c>
      <c r="E21" s="0" t="str">
        <f aca="false">IFERROR(__xludf.dummyfunction("""COMPUTED_VALUE"""),"En lo referente a esta acción se realizó  la respectiva revisión por esta oficina de Control Interno  en el módulo de activos fijos observándose que  los ingresos y modelos de los automotores se encuentra ajustados,  cumplimiento  en su totalidad en lo re"&amp;"ferente a la actualización con respecto a la valorización del parque automotor de la Subred Norte ESE.")</f>
        <v>En lo referente a esta acción se realizó  la respectiva revisión por esta oficina de Control Interno  en el módulo de activos fijos observándose que  los ingresos y modelos de los automotores se encuentra ajustados,  cumplimiento  en su totalidad en lo referente a la actualización con respecto a la valorización del parque automotor de la Subred Norte ESE.</v>
      </c>
      <c r="F21" s="0" t="str">
        <f aca="false">IFERROR(__xludf.dummyfunction("""COMPUTED_VALUE"""),"Completo")</f>
        <v>Completo</v>
      </c>
      <c r="G21" s="0" t="str">
        <f aca="false">IFERROR(__xludf.dummyfunction("""COMPUTED_VALUE"""),"Sí")</f>
        <v>Sí</v>
      </c>
    </row>
    <row r="22" customFormat="false" ht="14.25" hidden="false" customHeight="false" outlineLevel="0" collapsed="false">
      <c r="A22" s="18" t="str">
        <f aca="false">IFERROR(MID(D22,1,FIND("|",D22)-1)&amp;"-"&amp;C22,"")</f>
        <v>AICI202114-9-1-3</v>
      </c>
      <c r="B22" s="19" t="n">
        <f aca="false">IFERROR(__xludf.dummyfunction("""COMPUTED_VALUE"""),44840)</f>
        <v>44840</v>
      </c>
      <c r="C22" s="0" t="n">
        <f aca="false">IFERROR(__xludf.dummyfunction("""COMPUTED_VALUE"""),3)</f>
        <v>3</v>
      </c>
      <c r="D22" s="0" t="str">
        <f aca="false">IFERROR(__xludf.dummyfunction("""COMPUTED_VALUE"""),"AICI202114-9-1| Realizar el proceso de liquidación de los contratos 022 y 044 de 2020 (01/dic/2021 - 30/jun/2022)")</f>
        <v>AICI202114-9-1| Realizar el proceso de liquidación de los contratos 022 y 044 de 2020 (01/dic/2021 - 30/jun/2022)</v>
      </c>
      <c r="E22" s="0" t="str">
        <f aca="false">IFERROR(__xludf.dummyfunction("""COMPUTED_VALUE"""),"Se envió informes finales de ejecución a la oficina de presupuesto para su complementación con datos de tesorería; informes que fueron enviados por presupuesto a la oficina de contratación.  (Se adjuntan Informes finales de los mismos contratos.) Pendient"&amp;"e de Actas de liquidación de los contratos Contratos 022 y 044 de 2020 con TOYOCAR´S INGENIERIA AUTOMOTRIZ LIMITADA")</f>
        <v>Se envió informes finales de ejecución a la oficina de presupuesto para su complementación con datos de tesorería; informes que fueron enviados por presupuesto a la oficina de contratación.  (Se adjuntan Informes finales de los mismos contratos.) Pendiente de Actas de liquidación de los contratos Contratos 022 y 044 de 2020 con TOYOCAR´S INGENIERIA AUTOMOTRIZ LIMITADA</v>
      </c>
      <c r="F22" s="0" t="str">
        <f aca="false">IFERROR(__xludf.dummyfunction("""COMPUTED_VALUE"""),"Atrasado")</f>
        <v>Atrasado</v>
      </c>
    </row>
    <row r="23" customFormat="false" ht="14.25" hidden="false" customHeight="false" outlineLevel="0" collapsed="false">
      <c r="A23" s="18" t="str">
        <f aca="false">IFERROR(MID(D23,1,FIND("|",D23)-1)&amp;"-"&amp;C23,"")</f>
        <v>AICI202114-4-1-4</v>
      </c>
      <c r="B23" s="19" t="n">
        <f aca="false">IFERROR(__xludf.dummyfunction("""COMPUTED_VALUE"""),44943)</f>
        <v>44943</v>
      </c>
      <c r="C23" s="0" t="n">
        <f aca="false">IFERROR(__xludf.dummyfunction("""COMPUTED_VALUE"""),4)</f>
        <v>4</v>
      </c>
      <c r="D23" s="0" t="str">
        <f aca="false">IFERROR(__xludf.dummyfunction("""COMPUTED_VALUE"""),"AICI202114-4-1| Realizar un muestreo con valores y placas de las 5 cotizaciones con mayor valor a fin de verificar la exactitud en los valores (13/feb/2022 - 30/nov/2022)")</f>
        <v>AICI202114-4-1| Realizar un muestreo con valores y placas de las 5 cotizaciones con mayor valor a fin de verificar la exactitud en los valores (13/feb/2022 - 30/nov/2022)</v>
      </c>
      <c r="E23" s="0" t="str">
        <f aca="false">IFERROR(__xludf.dummyfunction("""COMPUTED_VALUE"""),"Se lleva el control de verificación en el formato de revisión Post - Facturación, en donde se verifican valores facturados con los valores de la oferta económica de los Contratos de mantenimiento Vehicular. Se anexan soportes de factura 1551 DE 22 de dici"&amp;"embre 2022. Se realiza Crédito de la factura electronica de Venta.Se anexa soporte ")</f>
        <v>Se lleva el control de verificación en el formato de revisión Post - Facturación, en donde se verifican valores facturados con los valores de la oferta económica de los Contratos de mantenimiento Vehicular. Se anexan soportes de factura 1551 DE 22 de diciembre 2022. Se realiza Crédito de la factura electronica de Venta.Se anexa soporte </v>
      </c>
      <c r="F23" s="0" t="str">
        <f aca="false">IFERROR(__xludf.dummyfunction("""COMPUTED_VALUE"""),"Completo")</f>
        <v>Completo</v>
      </c>
      <c r="G23" s="0" t="str">
        <f aca="false">IFERROR(__xludf.dummyfunction("""COMPUTED_VALUE"""),"Sí")</f>
        <v>Sí</v>
      </c>
    </row>
    <row r="24" customFormat="false" ht="14.25" hidden="false" customHeight="false" outlineLevel="0" collapsed="false">
      <c r="A24" s="18" t="str">
        <f aca="false">IFERROR(MID(D24,1,FIND("|",D24)-1)&amp;"-"&amp;C24,"")</f>
        <v>AICI202114-5-1-4</v>
      </c>
      <c r="B24" s="19" t="n">
        <f aca="false">IFERROR(__xludf.dummyfunction("""COMPUTED_VALUE"""),44943)</f>
        <v>44943</v>
      </c>
      <c r="C24" s="0" t="n">
        <f aca="false">IFERROR(__xludf.dummyfunction("""COMPUTED_VALUE"""),4)</f>
        <v>4</v>
      </c>
      <c r="D24" s="0" t="str">
        <f aca="false">IFERROR(__xludf.dummyfunction("""COMPUTED_VALUE"""),"AICI202114-5-1| Realizar el proceso de legalización estos bienes vehiculares para dar de baja de los automotores que se encuentran en esas ... (01/feb/2021 - 30/jun/2022)")</f>
        <v>AICI202114-5-1| Realizar el proceso de legalización estos bienes vehiculares para dar de baja de los automotores que se encuentran en esas ... (01/feb/2021 - 30/jun/2022)</v>
      </c>
      <c r="E24" s="0" t="str">
        <f aca="false">IFERROR(__xludf.dummyfunction("""COMPUTED_VALUE"""),"No se recibió respuesta al seguimiento del plan de mejoramiento por parte de la Dirección Administrativa cuyo requerimiento se efectúo mediante correo institucional el día 2 de enero de 2023  estableciendo como plazo máximo el día 5 de enero de 2023.")</f>
        <v>No se recibió respuesta al seguimiento del plan de mejoramiento por parte de la Dirección Administrativa cuyo requerimiento se efectúo mediante correo institucional el día 2 de enero de 2023  estableciendo como plazo máximo el día 5 de enero de 2023.</v>
      </c>
      <c r="F24" s="0" t="str">
        <f aca="false">IFERROR(__xludf.dummyfunction("""COMPUTED_VALUE"""),"Atrasado")</f>
        <v>Atrasado</v>
      </c>
    </row>
    <row r="25" customFormat="false" ht="14.25" hidden="false" customHeight="false" outlineLevel="0" collapsed="false">
      <c r="A25" s="18" t="str">
        <f aca="false">IFERROR(MID(D25,1,FIND("|",D25)-1)&amp;"-"&amp;C25,"")</f>
        <v>AICI202114-6-1-4</v>
      </c>
      <c r="B25" s="19" t="n">
        <f aca="false">IFERROR(__xludf.dummyfunction("""COMPUTED_VALUE"""),44943)</f>
        <v>44943</v>
      </c>
      <c r="C25" s="0" t="n">
        <f aca="false">IFERROR(__xludf.dummyfunction("""COMPUTED_VALUE"""),4)</f>
        <v>4</v>
      </c>
      <c r="D25" s="0" t="str">
        <f aca="false">IFERROR(__xludf.dummyfunction("""COMPUTED_VALUE"""),"AICI202114-6-1| Realizar estudio de costo beneficio para determinar la viabilidad de mantener operativo el  vehículo, o recomendar su baja.  (10/feb/2020 - 30/jun/2022)")</f>
        <v>AICI202114-6-1| Realizar estudio de costo beneficio para determinar la viabilidad de mantener operativo el  vehículo, o recomendar su baja.  (10/feb/2020 - 30/jun/2022)</v>
      </c>
      <c r="E25" s="0" t="str">
        <f aca="false">IFERROR(__xludf.dummyfunction("""COMPUTED_VALUE"""),"No se recibió respuesta al seguimiento del plan de mejoramiento por parte de la Dirección Administrativa cuyo requerimiento se efectúo mediante correo institucional el día 2 de enero de 2023  estableciendo como plazo máximo el día 5 de enero de 2023.")</f>
        <v>No se recibió respuesta al seguimiento del plan de mejoramiento por parte de la Dirección Administrativa cuyo requerimiento se efectúo mediante correo institucional el día 2 de enero de 2023  estableciendo como plazo máximo el día 5 de enero de 2023.</v>
      </c>
      <c r="F25" s="0" t="str">
        <f aca="false">IFERROR(__xludf.dummyfunction("""COMPUTED_VALUE"""),"Atrasado")</f>
        <v>Atrasado</v>
      </c>
    </row>
    <row r="26" customFormat="false" ht="14.25" hidden="false" customHeight="false" outlineLevel="0" collapsed="false">
      <c r="A26" s="18" t="str">
        <f aca="false">IFERROR(MID(D26,1,FIND("|",D26)-1)&amp;"-"&amp;C26,"")</f>
        <v>AICI202114-9-1-4</v>
      </c>
      <c r="B26" s="19" t="n">
        <f aca="false">IFERROR(__xludf.dummyfunction("""COMPUTED_VALUE"""),44943)</f>
        <v>44943</v>
      </c>
      <c r="C26" s="0" t="n">
        <f aca="false">IFERROR(__xludf.dummyfunction("""COMPUTED_VALUE"""),4)</f>
        <v>4</v>
      </c>
      <c r="D26" s="0" t="str">
        <f aca="false">IFERROR(__xludf.dummyfunction("""COMPUTED_VALUE"""),"AICI202114-9-1| Realizar el proceso de liquidación de los contratos 022 y 044 de 2020 (01/dic/2021 - 30/jun/2022)")</f>
        <v>AICI202114-9-1| Realizar el proceso de liquidación de los contratos 022 y 044 de 2020 (01/dic/2021 - 30/jun/2022)</v>
      </c>
      <c r="E26" s="0" t="str">
        <f aca="false">IFERROR(__xludf.dummyfunction("""COMPUTED_VALUE"""),"No se recibió respuesta al seguimiento del plan de mejoramiento por parte de la Dirección Administrativa cuyo requerimiento se efectúo mediante correo institucional el día 2 de enero de 2023  estableciendo como plazo máximo el día 5 de enero de 2023.")</f>
        <v>No se recibió respuesta al seguimiento del plan de mejoramiento por parte de la Dirección Administrativa cuyo requerimiento se efectúo mediante correo institucional el día 2 de enero de 2023  estableciendo como plazo máximo el día 5 de enero de 2023.</v>
      </c>
      <c r="F26" s="0" t="str">
        <f aca="false">IFERROR(__xludf.dummyfunction("""COMPUTED_VALUE"""),"Atrasado")</f>
        <v>Atrasado</v>
      </c>
    </row>
    <row r="27" customFormat="false" ht="14.25" hidden="false" customHeight="false" outlineLevel="0" collapsed="false">
      <c r="A27" s="18" t="str">
        <f aca="false">IFERROR(MID(D27,1,FIND("|",D27)-1)&amp;"-"&amp;C27,"")</f>
        <v>AICI202114-5-1-5</v>
      </c>
      <c r="B27" s="19" t="n">
        <f aca="false">IFERROR(__xludf.dummyfunction("""COMPUTED_VALUE"""),45033)</f>
        <v>45033</v>
      </c>
      <c r="C27" s="0" t="n">
        <f aca="false">IFERROR(__xludf.dummyfunction("""COMPUTED_VALUE"""),5)</f>
        <v>5</v>
      </c>
      <c r="D27" s="0" t="str">
        <f aca="false">IFERROR(__xludf.dummyfunction("""COMPUTED_VALUE"""),"AICI202114-5-1| Realizar el proceso de legalización estos bienes vehiculares para dar de baja de los automotores que se encuentran en esas ... (01/feb/2021 - 30/jun/2022)")</f>
        <v>AICI202114-5-1| Realizar el proceso de legalización estos bienes vehiculares para dar de baja de los automotores que se encuentran en esas ... (01/feb/2021 - 30/jun/2022)</v>
      </c>
      <c r="E27" s="0" t="str">
        <f aca="false">IFERROR(__xludf.dummyfunction("""COMPUTED_VALUE""")," Se realizo la legalización de bienes y  se incluyó en la relación de vehículos a dar de baja que se llevó al comité de inventarios de la Subred, donde actualmente cursa el proceso requerido para recomendar y autorizar su baja por parte del ordenador del "&amp;"gasto. Cuenta con la mayoría de soportes y se están atendiendo otras solicitudes pedidas por el comité.")</f>
        <v> Se realizo la legalización de bienes y  se incluyó en la relación de vehículos a dar de baja que se llevó al comité de inventarios de la Subred, donde actualmente cursa el proceso requerido para recomendar y autorizar su baja por parte del ordenador del gasto. Cuenta con la mayoría de soportes y se están atendiendo otras solicitudes pedidas por el comité.</v>
      </c>
      <c r="F27" s="0" t="str">
        <f aca="false">IFERROR(__xludf.dummyfunction("""COMPUTED_VALUE"""),"Atrasado")</f>
        <v>Atrasado</v>
      </c>
    </row>
    <row r="28" customFormat="false" ht="14.25" hidden="false" customHeight="false" outlineLevel="0" collapsed="false">
      <c r="A28" s="18" t="str">
        <f aca="false">IFERROR(MID(D28,1,FIND("|",D28)-1)&amp;"-"&amp;C28,"")</f>
        <v>AICI202114-6-1-5</v>
      </c>
      <c r="B28" s="19" t="n">
        <f aca="false">IFERROR(__xludf.dummyfunction("""COMPUTED_VALUE"""),45033)</f>
        <v>45033</v>
      </c>
      <c r="C28" s="0" t="n">
        <f aca="false">IFERROR(__xludf.dummyfunction("""COMPUTED_VALUE"""),5)</f>
        <v>5</v>
      </c>
      <c r="D28" s="0" t="str">
        <f aca="false">IFERROR(__xludf.dummyfunction("""COMPUTED_VALUE"""),"AICI202114-6-1| Realizar estudio de costo beneficio para determinar la viabilidad de mantener operativo el  vehículo, o recomendar su baja.  (10/feb/2020 - 30/jun/2022)")</f>
        <v>AICI202114-6-1| Realizar estudio de costo beneficio para determinar la viabilidad de mantener operativo el  vehículo, o recomendar su baja.  (10/feb/2020 - 30/jun/2022)</v>
      </c>
      <c r="E28" s="0" t="str">
        <f aca="false">IFERROR(__xludf.dummyfunction("""COMPUTED_VALUE"""),"Se realizó cotización al taller de mantenimiento, resultando más oneroso para la entidad mantener operativa los vehículos, dados los costos de arreglo que generen los continuos reingresos al taller debido al deteriorado estado mecánico de la misma. En con"&amp;"clusión, por estudio o relación beneficio costo, es más aconsejable no reparar y continuar con el proceso para baja. El proceso de baja y desintegración de las misma está siendo presentado al comité de inventarios para contar con su recomendación y poster"&amp;"ior resolución de baja y desintegración.
")</f>
        <v>Se realizó cotización al taller de mantenimiento, resultando más oneroso para la entidad mantener operativa los vehículos, dados los costos de arreglo que generen los continuos reingresos al taller debido al deteriorado estado mecánico de la misma. En conclusión, por estudio o relación beneficio costo, es más aconsejable no reparar y continuar con el proceso para baja. El proceso de baja y desintegración de las misma está siendo presentado al comité de inventarios para contar con su recomendación y posterior resolución de baja y desintegración.
</v>
      </c>
      <c r="F28" s="0" t="str">
        <f aca="false">IFERROR(__xludf.dummyfunction("""COMPUTED_VALUE"""),"Completo")</f>
        <v>Completo</v>
      </c>
      <c r="G28" s="0" t="str">
        <f aca="false">IFERROR(__xludf.dummyfunction("""COMPUTED_VALUE"""),"Sí")</f>
        <v>Sí</v>
      </c>
    </row>
    <row r="29" customFormat="false" ht="14.25" hidden="false" customHeight="false" outlineLevel="0" collapsed="false">
      <c r="A29" s="18" t="str">
        <f aca="false">IFERROR(MID(D29,1,FIND("|",D29)-1)&amp;"-"&amp;C29,"")</f>
        <v>AICI202114-9-1-5</v>
      </c>
      <c r="B29" s="19" t="n">
        <f aca="false">IFERROR(__xludf.dummyfunction("""COMPUTED_VALUE"""),45033)</f>
        <v>45033</v>
      </c>
      <c r="C29" s="0" t="n">
        <f aca="false">IFERROR(__xludf.dummyfunction("""COMPUTED_VALUE"""),5)</f>
        <v>5</v>
      </c>
      <c r="D29" s="0" t="str">
        <f aca="false">IFERROR(__xludf.dummyfunction("""COMPUTED_VALUE"""),"AICI202114-9-1| Realizar el proceso de liquidación de los contratos 022 y 044 de 2020 (01/dic/2021 - 30/jun/2022)")</f>
        <v>AICI202114-9-1| Realizar el proceso de liquidación de los contratos 022 y 044 de 2020 (01/dic/2021 - 30/jun/2022)</v>
      </c>
      <c r="E29" s="0" t="str">
        <f aca="false">IFERROR(__xludf.dummyfunction("""COMPUTED_VALUE"""),"Se realizó el debido proceso para la liquidación de los contratos 022-2020 y 044-2020, diligenciando informe final para liquidación; informe que fue revisado por el área de presupuesto y radicado en la oficina de contratación para su liquidación, se encue"&amp;"ntran en la resolución  Numero 1200  de 2022, liberando  los saldos  de los contratos 022 y 044 de 2020.")</f>
        <v>Se realizó el debido proceso para la liquidación de los contratos 022-2020 y 044-2020, diligenciando informe final para liquidación; informe que fue revisado por el área de presupuesto y radicado en la oficina de contratación para su liquidación, se encuentran en la resolución  Numero 1200  de 2022, liberando  los saldos  de los contratos 022 y 044 de 2020.</v>
      </c>
      <c r="F29" s="0" t="str">
        <f aca="false">IFERROR(__xludf.dummyfunction("""COMPUTED_VALUE"""),"Completo")</f>
        <v>Completo</v>
      </c>
      <c r="G29" s="0" t="str">
        <f aca="false">IFERROR(__xludf.dummyfunction("""COMPUTED_VALUE"""),"Sí")</f>
        <v>Sí</v>
      </c>
    </row>
    <row r="30" customFormat="false" ht="14.25" hidden="false" customHeight="false" outlineLevel="0" collapsed="false">
      <c r="A30" s="18" t="str">
        <f aca="false">IFERROR(MID(D30,1,FIND("|",D30)-1)&amp;"-"&amp;C30,"")</f>
        <v>AICI202114-5-1-6</v>
      </c>
      <c r="B30" s="19" t="n">
        <f aca="false">IFERROR(__xludf.dummyfunction("""COMPUTED_VALUE"""),45114)</f>
        <v>45114</v>
      </c>
      <c r="C30" s="0" t="n">
        <f aca="false">IFERROR(__xludf.dummyfunction("""COMPUTED_VALUE"""),6)</f>
        <v>6</v>
      </c>
      <c r="D30" s="0" t="str">
        <f aca="false">IFERROR(__xludf.dummyfunction("""COMPUTED_VALUE"""),"AICI202114-5-1| Realizar el proceso de legalización estos bienes vehiculares para dar de baja de los automotores que se encuentran en esas ... (01/feb/2021 - 30/jun/2022)")</f>
        <v>AICI202114-5-1| Realizar el proceso de legalización estos bienes vehiculares para dar de baja de los automotores que se encuentran en esas ... (01/feb/2021 - 30/jun/2022)</v>
      </c>
      <c r="E30" s="0" t="str">
        <f aca="false">IFERROR(__xludf.dummyfunction("""COMPUTED_VALUE"""),"De conformidad al seguimiento realizado, se observa que que se ha gestionado la legalización   de los bienes  objeto del hallazgo, como es el Móvil de placa OBE943  se dio de baja, esta en proceso de desintegración, la móvil OBC571, fue devuelta al Fondo "&amp;"de Desarrollo Local de Engativá, propietarios del vehículo y  en lo referente a la móvil OBGO57 , cuenta con todos los soportes para realizar el proceso de baja, encontrándose pendiente  de aprobación del comité y ordenador del gasto.")</f>
        <v>De conformidad al seguimiento realizado, se observa que que se ha gestionado la legalización   de los bienes  objeto del hallazgo, como es el Móvil de placa OBE943  se dio de baja, esta en proceso de desintegración, la móvil OBC571, fue devuelta al Fondo de Desarrollo Local de Engativá, propietarios del vehículo y  en lo referente a la móvil OBGO57 , cuenta con todos los soportes para realizar el proceso de baja, encontrándose pendiente  de aprobación del comité y ordenador del gasto.</v>
      </c>
      <c r="F30" s="0" t="str">
        <f aca="false">IFERROR(__xludf.dummyfunction("""COMPUTED_VALUE"""),"Atrasado")</f>
        <v>Atrasado</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1815</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AICI202115-1-1-1</v>
      </c>
      <c r="B4" s="19" t="n">
        <f aca="false">IFERROR(__xludf.dummyfunction("""COMPUTED_VALUE"""),44662)</f>
        <v>44662</v>
      </c>
      <c r="C4" s="0" t="n">
        <f aca="false">IFERROR(__xludf.dummyfunction("""COMPUTED_VALUE"""),1)</f>
        <v>1</v>
      </c>
      <c r="D4" s="0" t="str">
        <f aca="false">IFERROR(__xludf.dummyfunction("""COMPUTED_VALUE"""),"AICI202115-1-1| Mofiicar la sede electrónica para dar cumplimiento al anexo 1 de la Resolución 1519 de 2020 de MinTIC, según cronograma (04/feb/2022 - 31/dic/2022)")</f>
        <v>AICI202115-1-1| Mofiicar la sede electrónica para dar cumplimiento al anexo 1 de la Resolución 1519 de 2020 de MinTIC, según cronograma (04/feb/2022 - 31/dic/2022)</v>
      </c>
      <c r="E4" s="0" t="str">
        <f aca="false">IFERROR(__xludf.dummyfunction("""COMPUTED_VALUE"""),"Se verifica avances en la pagina Web de la subred en:
Cambio en templates de estructura de DRUPAL
Cambios en CSS (hojas de estilo)
Adición de campos de accesibilidad
Validación de accesibilidad general en paginas principales")</f>
        <v>Se verifica avances en la pagina Web de la subred en:
Cambio en templates de estructura de DRUPAL
Cambios en CSS (hojas de estilo)
Adición de campos de accesibilidad
Validación de accesibilidad general en paginas principales</v>
      </c>
      <c r="F4" s="0" t="str">
        <f aca="false">IFERROR(__xludf.dummyfunction("""COMPUTED_VALUE"""),"En desarrollo")</f>
        <v>En desarrollo</v>
      </c>
    </row>
    <row r="5" customFormat="false" ht="14.25" hidden="false" customHeight="false" outlineLevel="0" collapsed="false">
      <c r="A5" s="18" t="str">
        <f aca="false">IFERROR(MID(D5,1,FIND("|",D5)-1)&amp;"-"&amp;C5,"")</f>
        <v>AICI202115-2-1-1</v>
      </c>
      <c r="B5" s="19" t="n">
        <f aca="false">IFERROR(__xludf.dummyfunction("""COMPUTED_VALUE"""),44662)</f>
        <v>44662</v>
      </c>
      <c r="C5" s="0" t="n">
        <f aca="false">IFERROR(__xludf.dummyfunction("""COMPUTED_VALUE"""),1)</f>
        <v>1</v>
      </c>
      <c r="D5" s="0" t="str">
        <f aca="false">IFERROR(__xludf.dummyfunction("""COMPUTED_VALUE"""),"AICI202115-2-1| Construcción, normalización y seguimiento de cumplimiento del esquema de publicación que contenga ... (04/feb/2022 - 31/dic/2022)")</f>
        <v>AICI202115-2-1| Construcción, normalización y seguimiento de cumplimiento del esquema de publicación que contenga ... (04/feb/2022 - 31/dic/2022)</v>
      </c>
      <c r="E5" s="0" t="str">
        <f aca="false">IFERROR(__xludf.dummyfunction("""COMPUTED_VALUE"""),"Se evidencia el desarrollo y diligenciamiento de la matriz del esquema de publicación ")</f>
        <v>Se evidencia el desarrollo y diligenciamiento de la matriz del esquema de publicación </v>
      </c>
      <c r="F5" s="0" t="str">
        <f aca="false">IFERROR(__xludf.dummyfunction("""COMPUTED_VALUE"""),"En desarrollo")</f>
        <v>En desarrollo</v>
      </c>
    </row>
    <row r="6" customFormat="false" ht="14.25" hidden="false" customHeight="false" outlineLevel="0" collapsed="false">
      <c r="A6" s="18" t="str">
        <f aca="false">IFERROR(MID(D6,1,FIND("|",D6)-1)&amp;"-"&amp;C6,"")</f>
        <v>AICI202115-1-1-2</v>
      </c>
      <c r="B6" s="19" t="n">
        <f aca="false">IFERROR(__xludf.dummyfunction("""COMPUTED_VALUE"""),44753)</f>
        <v>44753</v>
      </c>
      <c r="C6" s="0" t="n">
        <f aca="false">IFERROR(__xludf.dummyfunction("""COMPUTED_VALUE"""),2)</f>
        <v>2</v>
      </c>
      <c r="D6" s="0" t="str">
        <f aca="false">IFERROR(__xludf.dummyfunction("""COMPUTED_VALUE"""),"AICI202115-1-1| Mofiicar la sede electrónica para dar cumplimiento al anexo 1 de la Resolución 1519 de 2020 de MinTIC, según cronograma (04/feb/2022 - 31/dic/2022)")</f>
        <v>AICI202115-1-1| Mofiicar la sede electrónica para dar cumplimiento al anexo 1 de la Resolución 1519 de 2020 de MinTIC, según cronograma (04/feb/2022 - 31/dic/2022)</v>
      </c>
      <c r="E6" s="0" t="str">
        <f aca="false">IFERROR(__xludf.dummyfunction("""COMPUTED_VALUE"""),"Se revisan los avances de esta acción de acuerdo con el cronograma y se termina que de las 6 actividades planteadas, se tiene cumplimiento de 3 de ellas, 2 se encuentran en desarrollo y una no ha iniciado.   ")</f>
        <v>Se revisan los avances de esta acción de acuerdo con el cronograma y se termina que de las 6 actividades planteadas, se tiene cumplimiento de 3 de ellas, 2 se encuentran en desarrollo y una no ha iniciado.   </v>
      </c>
      <c r="F6" s="0" t="str">
        <f aca="false">IFERROR(__xludf.dummyfunction("""COMPUTED_VALUE"""),"En desarrollo")</f>
        <v>En desarrollo</v>
      </c>
    </row>
    <row r="7" customFormat="false" ht="14.25" hidden="false" customHeight="false" outlineLevel="0" collapsed="false">
      <c r="A7" s="18" t="str">
        <f aca="false">IFERROR(MID(D7,1,FIND("|",D7)-1)&amp;"-"&amp;C7,"")</f>
        <v>AICI202115-2-1-2</v>
      </c>
      <c r="B7" s="19" t="n">
        <f aca="false">IFERROR(__xludf.dummyfunction("""COMPUTED_VALUE"""),44753)</f>
        <v>44753</v>
      </c>
      <c r="C7" s="0" t="n">
        <f aca="false">IFERROR(__xludf.dummyfunction("""COMPUTED_VALUE"""),2)</f>
        <v>2</v>
      </c>
      <c r="D7" s="0" t="str">
        <f aca="false">IFERROR(__xludf.dummyfunction("""COMPUTED_VALUE"""),"AICI202115-2-1| Construcción, normalización y seguimiento de cumplimiento del esquema de publicación que contenga ... (04/feb/2022 - 31/dic/2022)")</f>
        <v>AICI202115-2-1| Construcción, normalización y seguimiento de cumplimiento del esquema de publicación que contenga ... (04/feb/2022 - 31/dic/2022)</v>
      </c>
      <c r="E7" s="0" t="str">
        <f aca="false">IFERROR(__xludf.dummyfunction("""COMPUTED_VALUE"""),"Se revisan los avances de esta acción de acuerdo con el cronograma y se determina que de las 10 actividades planteadas, se tiene cumplimiento de 9 de ellas y una se encuentra en desarrollo.")</f>
        <v>Se revisan los avances de esta acción de acuerdo con el cronograma y se determina que de las 10 actividades planteadas, se tiene cumplimiento de 9 de ellas y una se encuentra en desarrollo.</v>
      </c>
      <c r="F7" s="0" t="str">
        <f aca="false">IFERROR(__xludf.dummyfunction("""COMPUTED_VALUE"""),"En desarrollo")</f>
        <v>En desarrollo</v>
      </c>
    </row>
    <row r="8" customFormat="false" ht="14.25" hidden="false" customHeight="false" outlineLevel="0" collapsed="false">
      <c r="A8" s="18" t="str">
        <f aca="false">IFERROR(MID(D8,1,FIND("|",D8)-1)&amp;"-"&amp;C8,"")</f>
        <v>AICI202115-1-1-3</v>
      </c>
      <c r="B8" s="19" t="n">
        <f aca="false">IFERROR(__xludf.dummyfunction("""COMPUTED_VALUE"""),44938)</f>
        <v>44938</v>
      </c>
      <c r="C8" s="0" t="n">
        <f aca="false">IFERROR(__xludf.dummyfunction("""COMPUTED_VALUE"""),3)</f>
        <v>3</v>
      </c>
      <c r="D8" s="0" t="str">
        <f aca="false">IFERROR(__xludf.dummyfunction("""COMPUTED_VALUE"""),"AICI202115-1-1| Mofiicar la sede electrónica para dar cumplimiento al anexo 1 de la Resolución 1519 de 2020 de MinTIC, según cronograma (04/feb/2022 - 31/dic/2022)")</f>
        <v>AICI202115-1-1| Mofiicar la sede electrónica para dar cumplimiento al anexo 1 de la Resolución 1519 de 2020 de MinTIC, según cronograma (04/feb/2022 - 31/dic/2022)</v>
      </c>
      <c r="E8" s="0" t="str">
        <f aca="false">IFERROR(__xludf.dummyfunction("""COMPUTED_VALUE"""),"Se da cierre a esta acción de acuerdo con lo concluido en la reunión de seguimiento entre del día 12/01/2023, entre la oficina de comunicaciones, sistemas de información y Tics y la OCI, determinando que no es pertinente tener dos planes de mejora con igu"&amp;"al objetivo y hallazgos similares.   Se anexa acta de la reunión  ")</f>
        <v>Se da cierre a esta acción de acuerdo con lo concluido en la reunión de seguimiento entre del día 12/01/2023, entre la oficina de comunicaciones, sistemas de información y Tics y la OCI, determinando que no es pertinente tener dos planes de mejora con igual objetivo y hallazgos similares.   Se anexa acta de la reunión  </v>
      </c>
      <c r="F8" s="0" t="str">
        <f aca="false">IFERROR(__xludf.dummyfunction("""COMPUTED_VALUE"""),"Completo")</f>
        <v>Completo</v>
      </c>
      <c r="G8" s="0" t="str">
        <f aca="false">IFERROR(__xludf.dummyfunction("""COMPUTED_VALUE"""),"No")</f>
        <v>No</v>
      </c>
    </row>
    <row r="9" customFormat="false" ht="14.25" hidden="false" customHeight="false" outlineLevel="0" collapsed="false">
      <c r="A9" s="18" t="str">
        <f aca="false">IFERROR(MID(D9,1,FIND("|",D9)-1)&amp;"-"&amp;C9,"")</f>
        <v>AICI202115-2-1-3</v>
      </c>
      <c r="B9" s="19" t="n">
        <f aca="false">IFERROR(__xludf.dummyfunction("""COMPUTED_VALUE"""),44938)</f>
        <v>44938</v>
      </c>
      <c r="C9" s="0" t="n">
        <f aca="false">IFERROR(__xludf.dummyfunction("""COMPUTED_VALUE"""),3)</f>
        <v>3</v>
      </c>
      <c r="D9" s="0" t="str">
        <f aca="false">IFERROR(__xludf.dummyfunction("""COMPUTED_VALUE"""),"AICI202115-2-1| Construcción, normalización y seguimiento de cumplimiento del esquema de publicación que contenga ... (04/feb/2022 - 31/dic/2022)")</f>
        <v>AICI202115-2-1| Construcción, normalización y seguimiento de cumplimiento del esquema de publicación que contenga ... (04/feb/2022 - 31/dic/2022)</v>
      </c>
      <c r="E9" s="0" t="str">
        <f aca="false">IFERROR(__xludf.dummyfunction("""COMPUTED_VALUE"""),"Se da cierre a esta acción de acuerdo con lo concluido en la reunión de seguimiento entre del día 12/01/2023, entre la oficina de comunicaciones, sistemas de información y Tics y la OCI, determinando que no es pertinente tener dos planes de mejora con igu"&amp;"al objetivo y hallazgos similares.   Se anexa acta de la reunión")</f>
        <v>Se da cierre a esta acción de acuerdo con lo concluido en la reunión de seguimiento entre del día 12/01/2023, entre la oficina de comunicaciones, sistemas de información y Tics y la OCI, determinando que no es pertinente tener dos planes de mejora con igual objetivo y hallazgos similares.   Se anexa acta de la reunión</v>
      </c>
      <c r="F9" s="0" t="str">
        <f aca="false">IFERROR(__xludf.dummyfunction("""COMPUTED_VALUE"""),"Completo")</f>
        <v>Completo</v>
      </c>
      <c r="G9" s="0" t="str">
        <f aca="false">IFERROR(__xludf.dummyfunction("""COMPUTED_VALUE"""),"No")</f>
        <v>No</v>
      </c>
    </row>
    <row r="10" customFormat="false" ht="14.25" hidden="false" customHeight="false" outlineLevel="0" collapsed="false">
      <c r="A10" s="18" t="str">
        <f aca="false">IFERROR(MID(D10,1,FIND("|",D10)-1)&amp;"-"&amp;C10,"")</f>
        <v/>
      </c>
    </row>
    <row r="11" customFormat="false" ht="14.25" hidden="false" customHeight="false" outlineLevel="0" collapsed="false">
      <c r="A11" s="18" t="str">
        <f aca="false">IFERROR(MID(D11,1,FIND("|",D11)-1)&amp;"-"&amp;C11,"")</f>
        <v/>
      </c>
    </row>
    <row r="12" customFormat="false" ht="14.25" hidden="false" customHeight="false" outlineLevel="0" collapsed="false">
      <c r="A12" s="18" t="str">
        <f aca="false">IFERROR(MID(D12,1,FIND("|",D12)-1)&amp;"-"&amp;C12,"")</f>
        <v/>
      </c>
    </row>
    <row r="13" customFormat="false" ht="14.25" hidden="false" customHeight="false" outlineLevel="0" collapsed="false">
      <c r="A13" s="18" t="str">
        <f aca="false">IFERROR(MID(D13,1,FIND("|",D13)-1)&amp;"-"&amp;C13,"")</f>
        <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1816</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AICI202116-1-1-1</v>
      </c>
      <c r="B4" s="19" t="n">
        <f aca="false">IFERROR(__xludf.dummyfunction("""COMPUTED_VALUE"""),44754)</f>
        <v>44754</v>
      </c>
      <c r="C4" s="0" t="n">
        <f aca="false">IFERROR(__xludf.dummyfunction("""COMPUTED_VALUE"""),1)</f>
        <v>1</v>
      </c>
      <c r="D4" s="0" t="str">
        <f aca="false">IFERROR(__xludf.dummyfunction("""COMPUTED_VALUE"""),"AICI202116-1-1| Socializar plan estrategico de la Direccion de Gestion del Riesgo al 90% con una meta 400 personas que involucran el talento humano que operativiza … (01/mar/2022 - 30/sept/2022)")</f>
        <v>AICI202116-1-1| Socializar plan estrategico de la Direccion de Gestion del Riesgo al 90% con una meta 400 personas que involucran el talento humano que operativiza … (01/mar/2022 - 30/sept/2022)</v>
      </c>
      <c r="E4" s="0" t="str">
        <f aca="false">IFERROR(__xludf.dummyfunction("""COMPUTED_VALUE"""),"esta acción tiene fecha de inicio 1/03/2022 y fecha de terminación 30/09/2022, se encuentra en desarrollo")</f>
        <v>esta acción tiene fecha de inicio 1/03/2022 y fecha de terminación 30/09/2022, se encuentra en desarrollo</v>
      </c>
      <c r="F4" s="0" t="str">
        <f aca="false">IFERROR(__xludf.dummyfunction("""COMPUTED_VALUE"""),"En desarrollo")</f>
        <v>En desarrollo</v>
      </c>
    </row>
    <row r="5" customFormat="false" ht="14.25" hidden="false" customHeight="false" outlineLevel="0" collapsed="false">
      <c r="A5" s="18" t="str">
        <f aca="false">IFERROR(MID(D5,1,FIND("|",D5)-1)&amp;"-"&amp;C5,"")</f>
        <v>AICI202116-2-1-1</v>
      </c>
      <c r="B5" s="19" t="n">
        <f aca="false">IFERROR(__xludf.dummyfunction("""COMPUTED_VALUE"""),44754)</f>
        <v>44754</v>
      </c>
      <c r="C5" s="0" t="n">
        <f aca="false">IFERROR(__xludf.dummyfunction("""COMPUTED_VALUE"""),1)</f>
        <v>1</v>
      </c>
      <c r="D5" s="0" t="str">
        <f aca="false">IFERROR(__xludf.dummyfunction("""COMPUTED_VALUE"""),"AICI202116-2-1| Actualizar los documentos de todas las Rutas, adicionando item de: 1. Capacidad instalada y talento humano de acuerdoa la poblacion asginada. 2… (01/mar/2022 - 30/nov/2022)")</f>
        <v>AICI202116-2-1| Actualizar los documentos de todas las Rutas, adicionando item de: 1. Capacidad instalada y talento humano de acuerdoa la poblacion asginada. 2… (01/mar/2022 - 30/nov/2022)</v>
      </c>
      <c r="E5" s="0" t="str">
        <f aca="false">IFERROR(__xludf.dummyfunction("""COMPUTED_VALUE"""),"esta acción tiene fecha de inicio 1/03/2022 y fecha de terminación 30/11/2022, se encuentra en desarrollo  ")</f>
        <v>esta acción tiene fecha de inicio 1/03/2022 y fecha de terminación 30/11/2022, se encuentra en desarrollo  </v>
      </c>
      <c r="F5" s="0" t="str">
        <f aca="false">IFERROR(__xludf.dummyfunction("""COMPUTED_VALUE"""),"En desarrollo")</f>
        <v>En desarrollo</v>
      </c>
    </row>
    <row r="6" customFormat="false" ht="14.25" hidden="false" customHeight="false" outlineLevel="0" collapsed="false">
      <c r="A6" s="18" t="str">
        <f aca="false">IFERROR(MID(D6,1,FIND("|",D6)-1)&amp;"-"&amp;C6,"")</f>
        <v>AICI202116-3-1-1</v>
      </c>
      <c r="B6" s="19" t="n">
        <f aca="false">IFERROR(__xludf.dummyfunction("""COMPUTED_VALUE"""),44754)</f>
        <v>44754</v>
      </c>
      <c r="C6" s="0" t="n">
        <f aca="false">IFERROR(__xludf.dummyfunction("""COMPUTED_VALUE"""),1)</f>
        <v>1</v>
      </c>
      <c r="D6" s="0" t="str">
        <f aca="false">IFERROR(__xludf.dummyfunction("""COMPUTED_VALUE"""),"AICI202116-3-1| Trabajar las acciones para mitigar los riesgos con Desarrollo Institucional y la Direccion de Gestion del Riesgo articulando el del Mapa de Riesgo … (01-03-/2022 - 30/jun/2022)")</f>
        <v>AICI202116-3-1| Trabajar las acciones para mitigar los riesgos con Desarrollo Institucional y la Direccion de Gestion del Riesgo articulando el del Mapa de Riesgo … (01-03-/2022 - 30/jun/2022)</v>
      </c>
      <c r="E6" s="0" t="str">
        <f aca="false">IFERROR(__xludf.dummyfunction("""COMPUTED_VALUE"""),"No se recibieron avances y/o soportes para la implementación de la acción para ser cumplida")</f>
        <v>No se recibieron avances y/o soportes para la implementación de la acción para ser cumplida</v>
      </c>
      <c r="F6" s="0" t="str">
        <f aca="false">IFERROR(__xludf.dummyfunction("""COMPUTED_VALUE"""),"Atrasado")</f>
        <v>Atrasado</v>
      </c>
    </row>
    <row r="7" customFormat="false" ht="14.25" hidden="false" customHeight="false" outlineLevel="0" collapsed="false">
      <c r="A7" s="18" t="str">
        <f aca="false">IFERROR(MID(D7,1,FIND("|",D7)-1)&amp;"-"&amp;C7,"")</f>
        <v>AICI202116-4-1-1</v>
      </c>
      <c r="B7" s="19" t="n">
        <f aca="false">IFERROR(__xludf.dummyfunction("""COMPUTED_VALUE"""),44754)</f>
        <v>44754</v>
      </c>
      <c r="C7" s="0" t="n">
        <f aca="false">IFERROR(__xludf.dummyfunction("""COMPUTED_VALUE"""),1)</f>
        <v>1</v>
      </c>
      <c r="D7" s="0" t="str">
        <f aca="false">IFERROR(__xludf.dummyfunction("""COMPUTED_VALUE"""),"AICI202116-4-1| Actualizar la caracterizacion de la Direccion de Gestion del Riesgo y los procesos las actividades de las RIAS en los procesos procedimientos … (01/mar/2022 - 30/sept/2022)")</f>
        <v>AICI202116-4-1| Actualizar la caracterizacion de la Direccion de Gestion del Riesgo y los procesos las actividades de las RIAS en los procesos procedimientos … (01/mar/2022 - 30/sept/2022)</v>
      </c>
      <c r="E7" s="0" t="str">
        <f aca="false">IFERROR(__xludf.dummyfunction("""COMPUTED_VALUE"""),"Esta acción tiene fecha de inicio 1/03/2022 y fecha de terminación 30/09/2022, se encuentra en desarrollo  ")</f>
        <v>Esta acción tiene fecha de inicio 1/03/2022 y fecha de terminación 30/09/2022, se encuentra en desarrollo  </v>
      </c>
      <c r="F7" s="0" t="str">
        <f aca="false">IFERROR(__xludf.dummyfunction("""COMPUTED_VALUE"""),"En desarrollo")</f>
        <v>En desarrollo</v>
      </c>
    </row>
    <row r="8" customFormat="false" ht="14.25" hidden="false" customHeight="false" outlineLevel="0" collapsed="false">
      <c r="A8" s="18" t="str">
        <f aca="false">IFERROR(MID(D8,1,FIND("|",D8)-1)&amp;"-"&amp;C8,"")</f>
        <v>AICI202116-5-1-1</v>
      </c>
      <c r="B8" s="19" t="n">
        <f aca="false">IFERROR(__xludf.dummyfunction("""COMPUTED_VALUE"""),44754)</f>
        <v>44754</v>
      </c>
      <c r="C8" s="0" t="n">
        <f aca="false">IFERROR(__xludf.dummyfunction("""COMPUTED_VALUE"""),1)</f>
        <v>1</v>
      </c>
      <c r="D8" s="0" t="str">
        <f aca="false">IFERROR(__xludf.dummyfunction("""COMPUTED_VALUE"""),"AICI202116-5-1| Actualizar los Instructivos correspondientes a la ejecución de actividades de Todas RIAS según normatividad vigente (10/feb/2022 - 31/may/2022)")</f>
        <v>AICI202116-5-1| Actualizar los Instructivos correspondientes a la ejecución de actividades de Todas RIAS según normatividad vigente (10/feb/2022 - 31/may/2022)</v>
      </c>
      <c r="E8" s="0" t="str">
        <f aca="false">IFERROR(__xludf.dummyfunction("""COMPUTED_VALUE"""),"No se recibieron avances y/o soportes para la implementación de la acción para ser cumplida")</f>
        <v>No se recibieron avances y/o soportes para la implementación de la acción para ser cumplida</v>
      </c>
      <c r="F8" s="0" t="str">
        <f aca="false">IFERROR(__xludf.dummyfunction("""COMPUTED_VALUE"""),"Atrasado")</f>
        <v>Atrasado</v>
      </c>
    </row>
    <row r="9" customFormat="false" ht="14.25" hidden="false" customHeight="false" outlineLevel="0" collapsed="false">
      <c r="A9" s="18" t="str">
        <f aca="false">IFERROR(MID(D9,1,FIND("|",D9)-1)&amp;"-"&amp;C9,"")</f>
        <v>AICI202116-6-1-1</v>
      </c>
      <c r="B9" s="19" t="n">
        <f aca="false">IFERROR(__xludf.dummyfunction("""COMPUTED_VALUE"""),44754)</f>
        <v>44754</v>
      </c>
      <c r="C9" s="0" t="n">
        <f aca="false">IFERROR(__xludf.dummyfunction("""COMPUTED_VALUE"""),1)</f>
        <v>1</v>
      </c>
      <c r="D9" s="0" t="str">
        <f aca="false">IFERROR(__xludf.dummyfunction("""COMPUTED_VALUE"""),"AICI202116-6-1| Actualizar los documentos de RIAS incluyendo manejo de bases de datos, entrega actualizada de estas a las unidades de atención (01/mar/2022 - 30/jun/2022)")</f>
        <v>AICI202116-6-1| Actualizar los documentos de RIAS incluyendo manejo de bases de datos, entrega actualizada de estas a las unidades de atención (01/mar/2022 - 30/jun/2022)</v>
      </c>
      <c r="E9" s="0" t="str">
        <f aca="false">IFERROR(__xludf.dummyfunction("""COMPUTED_VALUE"""),"No se recibieron avances y/o soportes para la implementación de la acción para ser cumplida")</f>
        <v>No se recibieron avances y/o soportes para la implementación de la acción para ser cumplida</v>
      </c>
      <c r="F9" s="0" t="str">
        <f aca="false">IFERROR(__xludf.dummyfunction("""COMPUTED_VALUE"""),"Atrasado")</f>
        <v>Atrasado</v>
      </c>
    </row>
    <row r="10" customFormat="false" ht="14.25" hidden="false" customHeight="false" outlineLevel="0" collapsed="false">
      <c r="A10" s="18" t="str">
        <f aca="false">IFERROR(MID(D10,1,FIND("|",D10)-1)&amp;"-"&amp;C10,"")</f>
        <v>AICI202116-6-2-1</v>
      </c>
      <c r="B10" s="19" t="n">
        <f aca="false">IFERROR(__xludf.dummyfunction("""COMPUTED_VALUE"""),44754)</f>
        <v>44754</v>
      </c>
      <c r="C10" s="0" t="n">
        <f aca="false">IFERROR(__xludf.dummyfunction("""COMPUTED_VALUE"""),1)</f>
        <v>1</v>
      </c>
      <c r="D10" s="0" t="str">
        <f aca="false">IFERROR(__xludf.dummyfunction("""COMPUTED_VALUE"""),"AICI202116-6-2| Socializar los documentos de RIAS, mencionados en la acción anterior al 95% de cada uno de los referentes de las unidades y de los técnicos y … (01/mar/2022 - 30/jun/2022)")</f>
        <v>AICI202116-6-2| Socializar los documentos de RIAS, mencionados en la acción anterior al 95% de cada uno de los referentes de las unidades y de los técnicos y … (01/mar/2022 - 30/jun/2022)</v>
      </c>
      <c r="E10" s="0" t="str">
        <f aca="false">IFERROR(__xludf.dummyfunction("""COMPUTED_VALUE"""),"No se recibieron avances y/o soportes para la implementación de la acción para ser cumplida")</f>
        <v>No se recibieron avances y/o soportes para la implementación de la acción para ser cumplida</v>
      </c>
      <c r="F10" s="0" t="str">
        <f aca="false">IFERROR(__xludf.dummyfunction("""COMPUTED_VALUE"""),"Atrasado")</f>
        <v>Atrasado</v>
      </c>
    </row>
    <row r="11" customFormat="false" ht="14.25" hidden="false" customHeight="false" outlineLevel="0" collapsed="false">
      <c r="A11" s="18" t="str">
        <f aca="false">IFERROR(MID(D11,1,FIND("|",D11)-1)&amp;"-"&amp;C11,"")</f>
        <v>AICI202116-7-1-1</v>
      </c>
      <c r="B11" s="19" t="n">
        <f aca="false">IFERROR(__xludf.dummyfunction("""COMPUTED_VALUE"""),44754)</f>
        <v>44754</v>
      </c>
      <c r="C11" s="0" t="n">
        <f aca="false">IFERROR(__xludf.dummyfunction("""COMPUTED_VALUE"""),1)</f>
        <v>1</v>
      </c>
      <c r="D11" s="0" t="str">
        <f aca="false">IFERROR(__xludf.dummyfunction("""COMPUTED_VALUE"""),"AICI202116-7-1| Definir el talento humano en la USS requerido para el seguimiento de la poblacion de todas las RIAS (11/feb/2022 - 31/dic/2022)")</f>
        <v>AICI202116-7-1| Definir el talento humano en la USS requerido para el seguimiento de la poblacion de todas las RIAS (11/feb/2022 - 31/dic/2022)</v>
      </c>
      <c r="E11" s="0" t="str">
        <f aca="false">IFERROR(__xludf.dummyfunction("""COMPUTED_VALUE"""),"Esta acción tiene fecha de inicio 11/02/2022 y fecha de terminación 31/12/2022, se encuentra en desarrollo")</f>
        <v>Esta acción tiene fecha de inicio 11/02/2022 y fecha de terminación 31/12/2022, se encuentra en desarrollo</v>
      </c>
      <c r="F11" s="0" t="str">
        <f aca="false">IFERROR(__xludf.dummyfunction("""COMPUTED_VALUE"""),"En desarrollo")</f>
        <v>En desarrollo</v>
      </c>
    </row>
    <row r="12" customFormat="false" ht="14.25" hidden="false" customHeight="false" outlineLevel="0" collapsed="false">
      <c r="A12" s="18" t="str">
        <f aca="false">IFERROR(MID(D12,1,FIND("|",D12)-1)&amp;"-"&amp;C12,"")</f>
        <v>AICI202116-7-2-1</v>
      </c>
      <c r="B12" s="19" t="n">
        <f aca="false">IFERROR(__xludf.dummyfunction("""COMPUTED_VALUE"""),44754)</f>
        <v>44754</v>
      </c>
      <c r="C12" s="0" t="n">
        <f aca="false">IFERROR(__xludf.dummyfunction("""COMPUTED_VALUE"""),1)</f>
        <v>1</v>
      </c>
      <c r="D12" s="0" t="str">
        <f aca="false">IFERROR(__xludf.dummyfunction("""COMPUTED_VALUE"""),"AICI202116-7-2| Hacer Seguimiento de la asignación/contratación del personal requerido para el funcionamiento de las RIAS desde cada una de las Direcciones que … (11/feb/2022 - 31/dic/2022)")</f>
        <v>AICI202116-7-2| Hacer Seguimiento de la asignación/contratación del personal requerido para el funcionamiento de las RIAS desde cada una de las Direcciones que … (11/feb/2022 - 31/dic/2022)</v>
      </c>
      <c r="E12" s="0" t="str">
        <f aca="false">IFERROR(__xludf.dummyfunction("""COMPUTED_VALUE"""),"Esta acción tiene fecha de inicio 11/02/2022 y fecha de terminación 31/12/2022, se encuentra en desarrollo  ")</f>
        <v>Esta acción tiene fecha de inicio 11/02/2022 y fecha de terminación 31/12/2022, se encuentra en desarrollo  </v>
      </c>
      <c r="F12" s="0" t="str">
        <f aca="false">IFERROR(__xludf.dummyfunction("""COMPUTED_VALUE"""),"En desarrollo")</f>
        <v>En desarrollo</v>
      </c>
    </row>
    <row r="13" customFormat="false" ht="14.25" hidden="false" customHeight="false" outlineLevel="0" collapsed="false">
      <c r="A13" s="18" t="str">
        <f aca="false">IFERROR(MID(D13,1,FIND("|",D13)-1)&amp;"-"&amp;C13,"")</f>
        <v>AICI202116-8-1-1</v>
      </c>
      <c r="B13" s="19" t="n">
        <f aca="false">IFERROR(__xludf.dummyfunction("""COMPUTED_VALUE"""),44754)</f>
        <v>44754</v>
      </c>
      <c r="C13" s="0" t="n">
        <f aca="false">IFERROR(__xludf.dummyfunction("""COMPUTED_VALUE"""),1)</f>
        <v>1</v>
      </c>
      <c r="D13" s="0" t="str">
        <f aca="false">IFERROR(__xludf.dummyfunction("""COMPUTED_VALUE"""),"AICI202116-8-1| Socializar al 80% con una meta de 400 colaboradores involucrados en la implementacion del proceso de captacion y demanda inducida de los usuarios … (01/mar/2022 - 30/sept/2022)")</f>
        <v>AICI202116-8-1| Socializar al 80% con una meta de 400 colaboradores involucrados en la implementacion del proceso de captacion y demanda inducida de los usuarios … (01/mar/2022 - 30/sept/2022)</v>
      </c>
      <c r="E13" s="0" t="str">
        <f aca="false">IFERROR(__xludf.dummyfunction("""COMPUTED_VALUE"""),"Esta acción tiene fecha de inicio 1/03/2022 y fecha de terminación 30/09/2022, se encuentra en desarrollo  ")</f>
        <v>Esta acción tiene fecha de inicio 1/03/2022 y fecha de terminación 30/09/2022, se encuentra en desarrollo  </v>
      </c>
      <c r="F13" s="0" t="str">
        <f aca="false">IFERROR(__xludf.dummyfunction("""COMPUTED_VALUE"""),"En desarrollo")</f>
        <v>En desarrollo</v>
      </c>
    </row>
    <row r="14" customFormat="false" ht="14.25" hidden="false" customHeight="false" outlineLevel="0" collapsed="false">
      <c r="A14" s="18" t="str">
        <f aca="false">IFERROR(MID(D14,1,FIND("|",D14)-1)&amp;"-"&amp;C14,"")</f>
        <v>AICI202116-9-1-1</v>
      </c>
      <c r="B14" s="19" t="n">
        <f aca="false">IFERROR(__xludf.dummyfunction("""COMPUTED_VALUE"""),44754)</f>
        <v>44754</v>
      </c>
      <c r="C14" s="0" t="n">
        <f aca="false">IFERROR(__xludf.dummyfunction("""COMPUTED_VALUE"""),1)</f>
        <v>1</v>
      </c>
      <c r="D14" s="0" t="str">
        <f aca="false">IFERROR(__xludf.dummyfunction("""COMPUTED_VALUE"""),"AICI202116-9-1| Elaborar documento de gestion de la informacion de RIAS que incluya la estandarización de la gestión de las bases de datos de RIAS, sus puntos… (01/mar/2022 - 30/sept/2022)")</f>
        <v>AICI202116-9-1| Elaborar documento de gestion de la informacion de RIAS que incluya la estandarización de la gestión de las bases de datos de RIAS, sus puntos… (01/mar/2022 - 30/sept/2022)</v>
      </c>
      <c r="E14" s="0" t="str">
        <f aca="false">IFERROR(__xludf.dummyfunction("""COMPUTED_VALUE"""),"Esta acción tiene fecha de inicio 1/03/2022 y fecha de terminación 30/09/2022, se encuentra en desarrollo  ")</f>
        <v>Esta acción tiene fecha de inicio 1/03/2022 y fecha de terminación 30/09/2022, se encuentra en desarrollo  </v>
      </c>
      <c r="F14" s="0" t="str">
        <f aca="false">IFERROR(__xludf.dummyfunction("""COMPUTED_VALUE"""),"En desarrollo")</f>
        <v>En desarrollo</v>
      </c>
    </row>
    <row r="15" customFormat="false" ht="14.25" hidden="false" customHeight="false" outlineLevel="0" collapsed="false">
      <c r="A15" s="18" t="str">
        <f aca="false">IFERROR(MID(D15,1,FIND("|",D15)-1)&amp;"-"&amp;C15,"")</f>
        <v>AICI202116-9-2-1</v>
      </c>
      <c r="B15" s="19" t="n">
        <f aca="false">IFERROR(__xludf.dummyfunction("""COMPUTED_VALUE"""),44754)</f>
        <v>44754</v>
      </c>
      <c r="C15" s="0" t="n">
        <f aca="false">IFERROR(__xludf.dummyfunction("""COMPUTED_VALUE"""),1)</f>
        <v>1</v>
      </c>
      <c r="D15" s="0" t="str">
        <f aca="false">IFERROR(__xludf.dummyfunction("""COMPUTED_VALUE"""),"AICI202116-9-2| Socializar los documentos de RIAS, mencionados en la acción anterior al 95% de cada uno de los referentes de las unidades con una meta de 100 … (01/mar/2022 - 30/sept/2022)")</f>
        <v>AICI202116-9-2| Socializar los documentos de RIAS, mencionados en la acción anterior al 95% de cada uno de los referentes de las unidades con una meta de 100 … (01/mar/2022 - 30/sept/2022)</v>
      </c>
      <c r="E15" s="0" t="str">
        <f aca="false">IFERROR(__xludf.dummyfunction("""COMPUTED_VALUE"""),"Esta acción tiene fecha de inicio 1/03/2022 y fecha de terminación 30/09/2022, se encuentra en desarrollo  ")</f>
        <v>Esta acción tiene fecha de inicio 1/03/2022 y fecha de terminación 30/09/2022, se encuentra en desarrollo  </v>
      </c>
      <c r="F15" s="0" t="str">
        <f aca="false">IFERROR(__xludf.dummyfunction("""COMPUTED_VALUE"""),"En desarrollo")</f>
        <v>En desarrollo</v>
      </c>
    </row>
    <row r="16" customFormat="false" ht="14.25" hidden="false" customHeight="false" outlineLevel="0" collapsed="false">
      <c r="A16" s="18" t="str">
        <f aca="false">IFERROR(MID(D16,1,FIND("|",D16)-1)&amp;"-"&amp;C16,"")</f>
        <v>AICI202116-10-1-1</v>
      </c>
      <c r="B16" s="19" t="n">
        <f aca="false">IFERROR(__xludf.dummyfunction("""COMPUTED_VALUE"""),44754)</f>
        <v>44754</v>
      </c>
      <c r="C16" s="0" t="n">
        <f aca="false">IFERROR(__xludf.dummyfunction("""COMPUTED_VALUE"""),1)</f>
        <v>1</v>
      </c>
      <c r="D16" s="0" t="str">
        <f aca="false">IFERROR(__xludf.dummyfunction("""COMPUTED_VALUE"""),"AICI202116-10-1| Socializar al 80% con una meta de 100 colaboradores que operativiza las Rutas,la Linea de mando y flujo de comunicación de las rutas integrales … (01/mar/2022 - 31/may/2022)")</f>
        <v>AICI202116-10-1| Socializar al 80% con una meta de 100 colaboradores que operativiza las Rutas,la Linea de mando y flujo de comunicación de las rutas integrales … (01/mar/2022 - 31/may/2022)</v>
      </c>
      <c r="E16" s="0" t="str">
        <f aca="false">IFERROR(__xludf.dummyfunction("""COMPUTED_VALUE"""),"No se recibieron avances y/o soportes para la implementación de la acción para ser cumplida")</f>
        <v>No se recibieron avances y/o soportes para la implementación de la acción para ser cumplida</v>
      </c>
      <c r="F16" s="0" t="str">
        <f aca="false">IFERROR(__xludf.dummyfunction("""COMPUTED_VALUE"""),"Atrasado")</f>
        <v>Atrasado</v>
      </c>
    </row>
    <row r="17" customFormat="false" ht="14.25" hidden="false" customHeight="false" outlineLevel="0" collapsed="false">
      <c r="A17" s="18" t="str">
        <f aca="false">IFERROR(MID(D17,1,FIND("|",D17)-1)&amp;"-"&amp;C17,"")</f>
        <v>AICI202116-11-1-1</v>
      </c>
      <c r="B17" s="19" t="n">
        <f aca="false">IFERROR(__xludf.dummyfunction("""COMPUTED_VALUE"""),44754)</f>
        <v>44754</v>
      </c>
      <c r="C17" s="0" t="n">
        <f aca="false">IFERROR(__xludf.dummyfunction("""COMPUTED_VALUE"""),1)</f>
        <v>1</v>
      </c>
      <c r="D17" s="0" t="str">
        <f aca="false">IFERROR(__xludf.dummyfunction("""COMPUTED_VALUE"""),"AICI202116-11-1| Definir el procedimiento de la RPYMS la capacidad instalada para la operación (estructura tactica y operativa) (01/mar/2022 - 30/nov/2022)")</f>
        <v>AICI202116-11-1| Definir el procedimiento de la RPYMS la capacidad instalada para la operación (estructura tactica y operativa) (01/mar/2022 - 30/nov/2022)</v>
      </c>
      <c r="E17" s="0" t="str">
        <f aca="false">IFERROR(__xludf.dummyfunction("""COMPUTED_VALUE"""),"Esta acción tiene fecha de inicio 1/03/2022 y fecha de terminación 30/11/2022, se encuentra en desarrollo  ")</f>
        <v>Esta acción tiene fecha de inicio 1/03/2022 y fecha de terminación 30/11/2022, se encuentra en desarrollo  </v>
      </c>
      <c r="F17" s="0" t="str">
        <f aca="false">IFERROR(__xludf.dummyfunction("""COMPUTED_VALUE"""),"En desarrollo")</f>
        <v>En desarrollo</v>
      </c>
    </row>
    <row r="18" customFormat="false" ht="14.25" hidden="false" customHeight="false" outlineLevel="0" collapsed="false">
      <c r="A18" s="18" t="str">
        <f aca="false">IFERROR(MID(D18,1,FIND("|",D18)-1)&amp;"-"&amp;C18,"")</f>
        <v>AICI202116-12-1-1</v>
      </c>
      <c r="B18" s="19" t="n">
        <f aca="false">IFERROR(__xludf.dummyfunction("""COMPUTED_VALUE"""),44754)</f>
        <v>44754</v>
      </c>
      <c r="C18" s="0" t="n">
        <f aca="false">IFERROR(__xludf.dummyfunction("""COMPUTED_VALUE"""),1)</f>
        <v>1</v>
      </c>
      <c r="D18" s="0" t="str">
        <f aca="false">IFERROR(__xludf.dummyfunction("""COMPUTED_VALUE"""),"AICI202116-12-1| Actualizar los documentos de la Ruta PYM, adicionando item de: Definir la capacidad instalada y talento humano de manera coordinada entre las … (01/mar/2022 - 30/nov/2022)")</f>
        <v>AICI202116-12-1| Actualizar los documentos de la Ruta PYM, adicionando item de: Definir la capacidad instalada y talento humano de manera coordinada entre las … (01/mar/2022 - 30/nov/2022)</v>
      </c>
      <c r="E18" s="0" t="str">
        <f aca="false">IFERROR(__xludf.dummyfunction("""COMPUTED_VALUE"""),"Esta acción tiene fecha de inicio 1/03/2022 y fecha de terminación 30/11/2022, se encuentra en desarrollo  ")</f>
        <v>Esta acción tiene fecha de inicio 1/03/2022 y fecha de terminación 30/11/2022, se encuentra en desarrollo  </v>
      </c>
      <c r="F18" s="0" t="str">
        <f aca="false">IFERROR(__xludf.dummyfunction("""COMPUTED_VALUE"""),"En desarrollo")</f>
        <v>En desarrollo</v>
      </c>
    </row>
    <row r="19" customFormat="false" ht="14.25" hidden="false" customHeight="false" outlineLevel="0" collapsed="false">
      <c r="A19" s="18" t="str">
        <f aca="false">IFERROR(MID(D19,1,FIND("|",D19)-1)&amp;"-"&amp;C19,"")</f>
        <v>AICI202116-13-1-1</v>
      </c>
      <c r="B19" s="19" t="n">
        <f aca="false">IFERROR(__xludf.dummyfunction("""COMPUTED_VALUE"""),44754)</f>
        <v>44754</v>
      </c>
      <c r="C19" s="0" t="n">
        <f aca="false">IFERROR(__xludf.dummyfunction("""COMPUTED_VALUE"""),1)</f>
        <v>1</v>
      </c>
      <c r="D19" s="0" t="str">
        <f aca="false">IFERROR(__xludf.dummyfunction("""COMPUTED_VALUE"""),"AICI202116-13-1| Desarrolllar mesas de analisis periodicas con 6 mesas para desplegar a las Unidades de atencion en salud, el mecanismo definido para el seguimiento … (11/mar/2022 - 30/dic/2022)")</f>
        <v>AICI202116-13-1| Desarrolllar mesas de analisis periodicas con 6 mesas para desplegar a las Unidades de atencion en salud, el mecanismo definido para el seguimiento … (11/mar/2022 - 30/dic/2022)</v>
      </c>
      <c r="E19" s="0" t="str">
        <f aca="false">IFERROR(__xludf.dummyfunction("""COMPUTED_VALUE"""),"Esta acción tiene fecha de inicio 11/03/2022 y fecha de terminación 30/12/2022, se encuentra en desarrollo  ")</f>
        <v>Esta acción tiene fecha de inicio 11/03/2022 y fecha de terminación 30/12/2022, se encuentra en desarrollo  </v>
      </c>
      <c r="F19" s="0" t="str">
        <f aca="false">IFERROR(__xludf.dummyfunction("""COMPUTED_VALUE"""),"En desarrollo")</f>
        <v>En desarrollo</v>
      </c>
    </row>
    <row r="20" customFormat="false" ht="14.25" hidden="false" customHeight="false" outlineLevel="0" collapsed="false">
      <c r="A20" s="18" t="str">
        <f aca="false">IFERROR(MID(D20,1,FIND("|",D20)-1)&amp;"-"&amp;C20,"")</f>
        <v>AICI202116-14-1-1</v>
      </c>
      <c r="B20" s="19" t="n">
        <f aca="false">IFERROR(__xludf.dummyfunction("""COMPUTED_VALUE"""),44754)</f>
        <v>44754</v>
      </c>
      <c r="C20" s="0" t="n">
        <f aca="false">IFERROR(__xludf.dummyfunction("""COMPUTED_VALUE"""),1)</f>
        <v>1</v>
      </c>
      <c r="D20" s="0" t="str">
        <f aca="false">IFERROR(__xludf.dummyfunction("""COMPUTED_VALUE"""),"AICI202116-14-1| Actualizar documentos de RIA PYMS incluyendo manejo de bases de datos, entrega actualizada de estas a las unidades de atención, Mecanismos de … (01/mar/2022 - 30/jun/2022)")</f>
        <v>AICI202116-14-1| Actualizar documentos de RIA PYMS incluyendo manejo de bases de datos, entrega actualizada de estas a las unidades de atención, Mecanismos de … (01/mar/2022 - 30/jun/2022)</v>
      </c>
      <c r="E20" s="0" t="str">
        <f aca="false">IFERROR(__xludf.dummyfunction("""COMPUTED_VALUE"""),"No se recibieron avances y/o soportes para la implementación de la acción para ser cumplida")</f>
        <v>No se recibieron avances y/o soportes para la implementación de la acción para ser cumplida</v>
      </c>
      <c r="F20" s="0" t="str">
        <f aca="false">IFERROR(__xludf.dummyfunction("""COMPUTED_VALUE"""),"Atrasado")</f>
        <v>Atrasado</v>
      </c>
    </row>
    <row r="21" customFormat="false" ht="14.25" hidden="false" customHeight="false" outlineLevel="0" collapsed="false">
      <c r="A21" s="18" t="str">
        <f aca="false">IFERROR(MID(D21,1,FIND("|",D21)-1)&amp;"-"&amp;C21,"")</f>
        <v>AICI202116-14-2-1</v>
      </c>
      <c r="B21" s="19" t="n">
        <f aca="false">IFERROR(__xludf.dummyfunction("""COMPUTED_VALUE"""),44754)</f>
        <v>44754</v>
      </c>
      <c r="C21" s="0" t="n">
        <f aca="false">IFERROR(__xludf.dummyfunction("""COMPUTED_VALUE"""),1)</f>
        <v>1</v>
      </c>
      <c r="D21" s="0" t="str">
        <f aca="false">IFERROR(__xludf.dummyfunction("""COMPUTED_VALUE"""),"AICI202116-14-2| Socializar al 95% del personal de las unidades que operativizan el proceso la adscripcion a la unidad y a las RIAS de la poblacion asignada: 10 … (01/mar/2022 - 30/jun/2022)")</f>
        <v>AICI202116-14-2| Socializar al 95% del personal de las unidades que operativizan el proceso la adscripcion a la unidad y a las RIAS de la poblacion asignada: 10 … (01/mar/2022 - 30/jun/2022)</v>
      </c>
      <c r="E21" s="0" t="str">
        <f aca="false">IFERROR(__xludf.dummyfunction("""COMPUTED_VALUE"""),"No se recibieron avances y/o soportes para la implementación de la acción para ser cumplida")</f>
        <v>No se recibieron avances y/o soportes para la implementación de la acción para ser cumplida</v>
      </c>
      <c r="F21" s="0" t="str">
        <f aca="false">IFERROR(__xludf.dummyfunction("""COMPUTED_VALUE"""),"Atrasado")</f>
        <v>Atrasado</v>
      </c>
    </row>
    <row r="22" customFormat="false" ht="14.25" hidden="false" customHeight="false" outlineLevel="0" collapsed="false">
      <c r="A22" s="18" t="str">
        <f aca="false">IFERROR(MID(D22,1,FIND("|",D22)-1)&amp;"-"&amp;C22,"")</f>
        <v>AICI202116-15-1-1</v>
      </c>
      <c r="B22" s="19" t="n">
        <f aca="false">IFERROR(__xludf.dummyfunction("""COMPUTED_VALUE"""),44754)</f>
        <v>44754</v>
      </c>
      <c r="C22" s="0" t="n">
        <f aca="false">IFERROR(__xludf.dummyfunction("""COMPUTED_VALUE"""),1)</f>
        <v>1</v>
      </c>
      <c r="D22" s="0" t="str">
        <f aca="false">IFERROR(__xludf.dummyfunction("""COMPUTED_VALUE"""),"AICI202116-15-1| Capacitar al 100% del personal de agendamiento,50 colaboradores entre facturacion y auxiliares de enfermeria de la Ruta de PYM sobre la … (01/mar/2022 - 30/dic/2022)")</f>
        <v>AICI202116-15-1| Capacitar al 100% del personal de agendamiento,50 colaboradores entre facturacion y auxiliares de enfermeria de la Ruta de PYM sobre la … (01/mar/2022 - 30/dic/2022)</v>
      </c>
      <c r="E22" s="0" t="str">
        <f aca="false">IFERROR(__xludf.dummyfunction("""COMPUTED_VALUE"""),"Esta acción tiene fecha de inicio 1/03/2022 y fecha de terminación 30/12/2022, se encuentra en desarrollo  ")</f>
        <v>Esta acción tiene fecha de inicio 1/03/2022 y fecha de terminación 30/12/2022, se encuentra en desarrollo  </v>
      </c>
      <c r="F22" s="0" t="str">
        <f aca="false">IFERROR(__xludf.dummyfunction("""COMPUTED_VALUE"""),"En desarrollo")</f>
        <v>En desarrollo</v>
      </c>
    </row>
    <row r="23" customFormat="false" ht="14.25" hidden="false" customHeight="false" outlineLevel="0" collapsed="false">
      <c r="A23" s="18" t="str">
        <f aca="false">IFERROR(MID(D23,1,FIND("|",D23)-1)&amp;"-"&amp;C23,"")</f>
        <v>AICI202116-15-2-1</v>
      </c>
      <c r="B23" s="19" t="n">
        <f aca="false">IFERROR(__xludf.dummyfunction("""COMPUTED_VALUE"""),44754)</f>
        <v>44754</v>
      </c>
      <c r="C23" s="0" t="n">
        <f aca="false">IFERROR(__xludf.dummyfunction("""COMPUTED_VALUE"""),1)</f>
        <v>1</v>
      </c>
      <c r="D23" s="0" t="str">
        <f aca="false">IFERROR(__xludf.dummyfunction("""COMPUTED_VALUE"""),"AICI202116-15-2| Desarrollar conjuntamente con el área de sistemas un mecanismo de control, que permita alertar sobre las frecuencias de uso de las atenciones de … (01/mar/2022 - 30/dic/2022)")</f>
        <v>AICI202116-15-2| Desarrollar conjuntamente con el área de sistemas un mecanismo de control, que permita alertar sobre las frecuencias de uso de las atenciones de … (01/mar/2022 - 30/dic/2022)</v>
      </c>
      <c r="E23" s="0" t="str">
        <f aca="false">IFERROR(__xludf.dummyfunction("""COMPUTED_VALUE"""),"Esta acción tiene fecha de inicio 1/03/2022 y fecha de terminación 30/12/2022, se encuentra en desarrollo  ")</f>
        <v>Esta acción tiene fecha de inicio 1/03/2022 y fecha de terminación 30/12/2022, se encuentra en desarrollo  </v>
      </c>
      <c r="F23" s="0" t="str">
        <f aca="false">IFERROR(__xludf.dummyfunction("""COMPUTED_VALUE"""),"En desarrollo")</f>
        <v>En desarrollo</v>
      </c>
    </row>
    <row r="24" customFormat="false" ht="14.25" hidden="false" customHeight="false" outlineLevel="0" collapsed="false">
      <c r="A24" s="18" t="str">
        <f aca="false">IFERROR(MID(D24,1,FIND("|",D24)-1)&amp;"-"&amp;C24,"")</f>
        <v>AICI202116-16-1-1</v>
      </c>
      <c r="B24" s="19" t="n">
        <f aca="false">IFERROR(__xludf.dummyfunction("""COMPUTED_VALUE"""),44754)</f>
        <v>44754</v>
      </c>
      <c r="C24" s="0" t="n">
        <f aca="false">IFERROR(__xludf.dummyfunction("""COMPUTED_VALUE"""),1)</f>
        <v>1</v>
      </c>
      <c r="D24" s="0" t="str">
        <f aca="false">IFERROR(__xludf.dummyfunction("""COMPUTED_VALUE"""),"AICI202116-16-1| Desarrollar Mesas minimo 2 mesas de trabajo de coordinacion con el fin de dar lectura a los hallazgos de la auditoria de control interno y … (01/mar/2022 - 30/dic/2022)")</f>
        <v>AICI202116-16-1| Desarrollar Mesas minimo 2 mesas de trabajo de coordinacion con el fin de dar lectura a los hallazgos de la auditoria de control interno y … (01/mar/2022 - 30/dic/2022)</v>
      </c>
      <c r="E24" s="0" t="str">
        <f aca="false">IFERROR(__xludf.dummyfunction("""COMPUTED_VALUE"""),"Esta acción tiene fecha de inicio 1/03/2022 y fecha de terminación 30/12/2022, se encuentra en desarrollo  ")</f>
        <v>Esta acción tiene fecha de inicio 1/03/2022 y fecha de terminación 30/12/2022, se encuentra en desarrollo  </v>
      </c>
      <c r="F24" s="0" t="str">
        <f aca="false">IFERROR(__xludf.dummyfunction("""COMPUTED_VALUE"""),"En desarrollo")</f>
        <v>En desarrollo</v>
      </c>
    </row>
    <row r="25" customFormat="false" ht="14.25" hidden="false" customHeight="false" outlineLevel="0" collapsed="false">
      <c r="A25" s="18" t="str">
        <f aca="false">IFERROR(MID(D25,1,FIND("|",D25)-1)&amp;"-"&amp;C25,"")</f>
        <v>AICI202116-17-1-1</v>
      </c>
      <c r="B25" s="19" t="n">
        <f aca="false">IFERROR(__xludf.dummyfunction("""COMPUTED_VALUE"""),44754)</f>
        <v>44754</v>
      </c>
      <c r="C25" s="0" t="n">
        <f aca="false">IFERROR(__xludf.dummyfunction("""COMPUTED_VALUE"""),1)</f>
        <v>1</v>
      </c>
      <c r="D25" s="0" t="str">
        <f aca="false">IFERROR(__xludf.dummyfunction("""COMPUTED_VALUE"""),"AICI202116-17-1| Desarrollar mesas de trabajo minimo 4 mesas para realizar seguimiento a la disponibilidad de medicamentos requeridos para el desarrollo de las … (01/mar/2022 - 30/dic/2022)")</f>
        <v>AICI202116-17-1| Desarrollar mesas de trabajo minimo 4 mesas para realizar seguimiento a la disponibilidad de medicamentos requeridos para el desarrollo de las … (01/mar/2022 - 30/dic/2022)</v>
      </c>
      <c r="E25" s="0" t="str">
        <f aca="false">IFERROR(__xludf.dummyfunction("""COMPUTED_VALUE"""),"Esta acción tiene fecha de inicio 1/03/2022 y fecha de terminación 30/12/2022, se encuentra en desarrollo  ")</f>
        <v>Esta acción tiene fecha de inicio 1/03/2022 y fecha de terminación 30/12/2022, se encuentra en desarrollo  </v>
      </c>
      <c r="F25" s="0" t="str">
        <f aca="false">IFERROR(__xludf.dummyfunction("""COMPUTED_VALUE"""),"En desarrollo")</f>
        <v>En desarrollo</v>
      </c>
    </row>
    <row r="26" customFormat="false" ht="14.25" hidden="false" customHeight="false" outlineLevel="0" collapsed="false">
      <c r="A26" s="18" t="str">
        <f aca="false">IFERROR(MID(D26,1,FIND("|",D26)-1)&amp;"-"&amp;C26,"")</f>
        <v>AICI202116-18-1-1</v>
      </c>
      <c r="B26" s="19" t="n">
        <f aca="false">IFERROR(__xludf.dummyfunction("""COMPUTED_VALUE"""),44754)</f>
        <v>44754</v>
      </c>
      <c r="C26" s="0" t="n">
        <f aca="false">IFERROR(__xludf.dummyfunction("""COMPUTED_VALUE"""),1)</f>
        <v>1</v>
      </c>
      <c r="D26" s="0" t="str">
        <f aca="false">IFERROR(__xludf.dummyfunction("""COMPUTED_VALUE"""),"AICI202116-18-1| Realizar mesas de coordinacion interinstitucional cada dos meses con el fin de evaluar los resultados obtenidos en la implementacion de la Ruta de … (01/mar/2022 - 31/dic/2022)")</f>
        <v>AICI202116-18-1| Realizar mesas de coordinacion interinstitucional cada dos meses con el fin de evaluar los resultados obtenidos en la implementacion de la Ruta de … (01/mar/2022 - 31/dic/2022)</v>
      </c>
      <c r="E26" s="0" t="str">
        <f aca="false">IFERROR(__xludf.dummyfunction("""COMPUTED_VALUE"""),"Esta acción tiene fecha de inicio 1/03/2022 y fecha de terminación 31/12/2022, se encuentra en desarrollo  ")</f>
        <v>Esta acción tiene fecha de inicio 1/03/2022 y fecha de terminación 31/12/2022, se encuentra en desarrollo  </v>
      </c>
      <c r="F26" s="0" t="str">
        <f aca="false">IFERROR(__xludf.dummyfunction("""COMPUTED_VALUE"""),"En desarrollo")</f>
        <v>En desarrollo</v>
      </c>
    </row>
    <row r="27" customFormat="false" ht="14.25" hidden="false" customHeight="false" outlineLevel="0" collapsed="false">
      <c r="A27" s="18" t="str">
        <f aca="false">IFERROR(MID(D27,1,FIND("|",D27)-1)&amp;"-"&amp;C27,"")</f>
        <v>AICI202116-19-1-1</v>
      </c>
      <c r="B27" s="19" t="n">
        <f aca="false">IFERROR(__xludf.dummyfunction("""COMPUTED_VALUE"""),44754)</f>
        <v>44754</v>
      </c>
      <c r="C27" s="0" t="n">
        <f aca="false">IFERROR(__xludf.dummyfunction("""COMPUTED_VALUE"""),1)</f>
        <v>1</v>
      </c>
      <c r="D27" s="0" t="str">
        <f aca="false">IFERROR(__xludf.dummyfunction("""COMPUTED_VALUE"""),"AICI202116-19-1| Actualizar documentos de RIA PYM incluyendo manejo de bases de datos, entrega actualizada de estas a las unidades de atención, puntos de control … (01/mar/2022 - 31/dic/2022)")</f>
        <v>AICI202116-19-1| Actualizar documentos de RIA PYM incluyendo manejo de bases de datos, entrega actualizada de estas a las unidades de atención, puntos de control … (01/mar/2022 - 31/dic/2022)</v>
      </c>
      <c r="E27" s="0" t="str">
        <f aca="false">IFERROR(__xludf.dummyfunction("""COMPUTED_VALUE"""),"Esta acción tiene fecha de inicio 1/03/2022 y fecha de terminación 31/12/2022, se encuentra en desarrollo  ")</f>
        <v>Esta acción tiene fecha de inicio 1/03/2022 y fecha de terminación 31/12/2022, se encuentra en desarrollo  </v>
      </c>
      <c r="F27" s="0" t="str">
        <f aca="false">IFERROR(__xludf.dummyfunction("""COMPUTED_VALUE"""),"En desarrollo")</f>
        <v>En desarrollo</v>
      </c>
    </row>
    <row r="28" customFormat="false" ht="14.25" hidden="false" customHeight="false" outlineLevel="0" collapsed="false">
      <c r="A28" s="18" t="str">
        <f aca="false">IFERROR(MID(D28,1,FIND("|",D28)-1)&amp;"-"&amp;C28,"")</f>
        <v>AICI202116-19-2-1</v>
      </c>
      <c r="B28" s="19" t="n">
        <f aca="false">IFERROR(__xludf.dummyfunction("""COMPUTED_VALUE"""),44754)</f>
        <v>44754</v>
      </c>
      <c r="C28" s="0" t="n">
        <f aca="false">IFERROR(__xludf.dummyfunction("""COMPUTED_VALUE"""),1)</f>
        <v>1</v>
      </c>
      <c r="D28" s="0" t="str">
        <f aca="false">IFERROR(__xludf.dummyfunction("""COMPUTED_VALUE"""),"AICI202116-19-2| Socializar a cada uno de los referentes y colaboradores de las unidades,(100 colaboradores) que operativizan el proceso, la adscripcion a la … (01/mar/2022 - 31/dic/2022)")</f>
        <v>AICI202116-19-2| Socializar a cada uno de los referentes y colaboradores de las unidades,(100 colaboradores) que operativizan el proceso, la adscripcion a la … (01/mar/2022 - 31/dic/2022)</v>
      </c>
      <c r="E28" s="0" t="str">
        <f aca="false">IFERROR(__xludf.dummyfunction("""COMPUTED_VALUE"""),"Esta acción tiene fecha de inicio 1/03/2022 y fecha de terminación 31/12/2022, se encuentra en desarrollo  ")</f>
        <v>Esta acción tiene fecha de inicio 1/03/2022 y fecha de terminación 31/12/2022, se encuentra en desarrollo  </v>
      </c>
      <c r="F28" s="0" t="str">
        <f aca="false">IFERROR(__xludf.dummyfunction("""COMPUTED_VALUE"""),"En desarrollo")</f>
        <v>En desarrollo</v>
      </c>
    </row>
    <row r="29" customFormat="false" ht="14.25" hidden="false" customHeight="false" outlineLevel="0" collapsed="false">
      <c r="A29" s="18" t="str">
        <f aca="false">IFERROR(MID(D29,1,FIND("|",D29)-1)&amp;"-"&amp;C29,"")</f>
        <v>AICI202116-20-1-1</v>
      </c>
      <c r="B29" s="19" t="n">
        <f aca="false">IFERROR(__xludf.dummyfunction("""COMPUTED_VALUE"""),44754)</f>
        <v>44754</v>
      </c>
      <c r="C29" s="0" t="n">
        <f aca="false">IFERROR(__xludf.dummyfunction("""COMPUTED_VALUE"""),1)</f>
        <v>1</v>
      </c>
      <c r="D29" s="0" t="str">
        <f aca="false">IFERROR(__xludf.dummyfunction("""COMPUTED_VALUE"""),"AICI202116-20-1| Realizar mesa de trabajo con articulacion en el area de sistemas de informacion TIC., para realizar lectura de necesidades de informacion de la RPY … (01/mar/2022 - 31/dic/2022)")</f>
        <v>AICI202116-20-1| Realizar mesa de trabajo con articulacion en el area de sistemas de informacion TIC., para realizar lectura de necesidades de informacion de la RPY … (01/mar/2022 - 31/dic/2022)</v>
      </c>
      <c r="E29" s="0" t="str">
        <f aca="false">IFERROR(__xludf.dummyfunction("""COMPUTED_VALUE"""),"Esta acción tiene fecha de inicio 1/03/2022 y fecha de terminación 31/12/2022, se encuentra en desarrollo  ")</f>
        <v>Esta acción tiene fecha de inicio 1/03/2022 y fecha de terminación 31/12/2022, se encuentra en desarrollo  </v>
      </c>
      <c r="F29" s="0" t="str">
        <f aca="false">IFERROR(__xludf.dummyfunction("""COMPUTED_VALUE"""),"En desarrollo")</f>
        <v>En desarrollo</v>
      </c>
    </row>
    <row r="30" customFormat="false" ht="14.25" hidden="false" customHeight="false" outlineLevel="0" collapsed="false">
      <c r="A30" s="18" t="str">
        <f aca="false">IFERROR(MID(D30,1,FIND("|",D30)-1)&amp;"-"&amp;C30,"")</f>
        <v>AICI202116-20-2-1</v>
      </c>
      <c r="B30" s="19" t="n">
        <f aca="false">IFERROR(__xludf.dummyfunction("""COMPUTED_VALUE"""),44754)</f>
        <v>44754</v>
      </c>
      <c r="C30" s="0" t="n">
        <f aca="false">IFERROR(__xludf.dummyfunction("""COMPUTED_VALUE"""),1)</f>
        <v>1</v>
      </c>
      <c r="D30" s="0" t="str">
        <f aca="false">IFERROR(__xludf.dummyfunction("""COMPUTED_VALUE"""),"AICI202116-20-2| Realizar plan de trabajo para fortalecer el tema de sistemas de información relacionado con el desarrollo de la RPYMS (01/mar/2022 - 31/dic/2022)")</f>
        <v>AICI202116-20-2| Realizar plan de trabajo para fortalecer el tema de sistemas de información relacionado con el desarrollo de la RPYMS (01/mar/2022 - 31/dic/2022)</v>
      </c>
      <c r="E30" s="0" t="str">
        <f aca="false">IFERROR(__xludf.dummyfunction("""COMPUTED_VALUE"""),"Esta acción tiene fecha de inicio 1/03/2022 y fecha de terminación 31/12/2022, se encuentra en desarrollo  ")</f>
        <v>Esta acción tiene fecha de inicio 1/03/2022 y fecha de terminación 31/12/2022, se encuentra en desarrollo  </v>
      </c>
      <c r="F30" s="0" t="str">
        <f aca="false">IFERROR(__xludf.dummyfunction("""COMPUTED_VALUE"""),"En desarrollo")</f>
        <v>En desarrollo</v>
      </c>
    </row>
    <row r="31" customFormat="false" ht="14.25" hidden="false" customHeight="false" outlineLevel="0" collapsed="false">
      <c r="A31" s="18" t="str">
        <f aca="false">IFERROR(MID(D31,1,FIND("|",D31)-1)&amp;"-"&amp;C31,"")</f>
        <v>AICI202116-21-1-1</v>
      </c>
      <c r="B31" s="19" t="n">
        <f aca="false">IFERROR(__xludf.dummyfunction("""COMPUTED_VALUE"""),44754)</f>
        <v>44754</v>
      </c>
      <c r="C31" s="0" t="n">
        <f aca="false">IFERROR(__xludf.dummyfunction("""COMPUTED_VALUE"""),1)</f>
        <v>1</v>
      </c>
      <c r="D31" s="0" t="str">
        <f aca="false">IFERROR(__xludf.dummyfunction("""COMPUTED_VALUE"""),"AICI202116-21-1| Socializar el procedimiento de gestion documental de la subrednorte sobre el manejo de la informacion y su custodia a los 10 referentes de las … (18/ene/2022 - 28/may/2022)")</f>
        <v>AICI202116-21-1| Socializar el procedimiento de gestion documental de la subrednorte sobre el manejo de la informacion y su custodia a los 10 referentes de las … (18/ene/2022 - 28/may/2022)</v>
      </c>
      <c r="E31" s="0" t="str">
        <f aca="false">IFERROR(__xludf.dummyfunction("""COMPUTED_VALUE"""),"No se recibieron avances y/o soportes para la implementación de la acción para ser cumplida")</f>
        <v>No se recibieron avances y/o soportes para la implementación de la acción para ser cumplida</v>
      </c>
      <c r="F31" s="0" t="str">
        <f aca="false">IFERROR(__xludf.dummyfunction("""COMPUTED_VALUE"""),"Atrasado")</f>
        <v>Atrasado</v>
      </c>
    </row>
    <row r="32" customFormat="false" ht="14.25" hidden="false" customHeight="false" outlineLevel="0" collapsed="false">
      <c r="A32" s="18" t="str">
        <f aca="false">IFERROR(MID(D32,1,FIND("|",D32)-1)&amp;"-"&amp;C32,"")</f>
        <v>AICI202116-21-2-1</v>
      </c>
      <c r="B32" s="19" t="n">
        <f aca="false">IFERROR(__xludf.dummyfunction("""COMPUTED_VALUE"""),44754)</f>
        <v>44754</v>
      </c>
      <c r="C32" s="0" t="n">
        <f aca="false">IFERROR(__xludf.dummyfunction("""COMPUTED_VALUE"""),1)</f>
        <v>1</v>
      </c>
      <c r="D32" s="0" t="str">
        <f aca="false">IFERROR(__xludf.dummyfunction("""COMPUTED_VALUE"""),"AICI202116-21-2| Definir e implementar el procedimiento de backup de la informacion de la RPMS y realizar la solicitud de equipos tecnologicos requeridos al area … (18/ene/2022 - 28/may/2022)")</f>
        <v>AICI202116-21-2| Definir e implementar el procedimiento de backup de la informacion de la RPMS y realizar la solicitud de equipos tecnologicos requeridos al area … (18/ene/2022 - 28/may/2022)</v>
      </c>
      <c r="E32" s="0" t="str">
        <f aca="false">IFERROR(__xludf.dummyfunction("""COMPUTED_VALUE"""),"No se recibieron avances y/o soportes para la implementación de la acción para ser cumplida")</f>
        <v>No se recibieron avances y/o soportes para la implementación de la acción para ser cumplida</v>
      </c>
      <c r="F32" s="0" t="str">
        <f aca="false">IFERROR(__xludf.dummyfunction("""COMPUTED_VALUE"""),"Atrasado")</f>
        <v>Atrasado</v>
      </c>
    </row>
    <row r="33" customFormat="false" ht="14.25" hidden="false" customHeight="false" outlineLevel="0" collapsed="false">
      <c r="A33" s="18" t="str">
        <f aca="false">IFERROR(MID(D33,1,FIND("|",D33)-1)&amp;"-"&amp;C33,"")</f>
        <v>AICI202116-22-1-1</v>
      </c>
      <c r="B33" s="19" t="n">
        <f aca="false">IFERROR(__xludf.dummyfunction("""COMPUTED_VALUE"""),44754)</f>
        <v>44754</v>
      </c>
      <c r="C33" s="0" t="n">
        <f aca="false">IFERROR(__xludf.dummyfunction("""COMPUTED_VALUE"""),1)</f>
        <v>1</v>
      </c>
      <c r="D33" s="0" t="str">
        <f aca="false">IFERROR(__xludf.dummyfunction("""COMPUTED_VALUE"""),"AICI202116-22-1| Socializarel plan de auditoria de las RIAS a los equipos operarivos y dinamizador de la RPYMS (01/mar/2022 - 31/dic/2022)")</f>
        <v>AICI202116-22-1| Socializarel plan de auditoria de las RIAS a los equipos operarivos y dinamizador de la RPYMS (01/mar/2022 - 31/dic/2022)</v>
      </c>
      <c r="E33" s="0" t="str">
        <f aca="false">IFERROR(__xludf.dummyfunction("""COMPUTED_VALUE"""),"Esta acción tiene fecha de inicio 1/03/2022 y fecha de terminación 31/12/2022, se encuentra en desarrollo  ")</f>
        <v>Esta acción tiene fecha de inicio 1/03/2022 y fecha de terminación 31/12/2022, se encuentra en desarrollo  </v>
      </c>
      <c r="F33" s="0" t="str">
        <f aca="false">IFERROR(__xludf.dummyfunction("""COMPUTED_VALUE"""),"En desarrollo")</f>
        <v>En desarrollo</v>
      </c>
    </row>
    <row r="34" customFormat="false" ht="14.25" hidden="false" customHeight="false" outlineLevel="0" collapsed="false">
      <c r="A34" s="18" t="str">
        <f aca="false">IFERROR(MID(D34,1,FIND("|",D34)-1)&amp;"-"&amp;C34,"")</f>
        <v>AICI202116-22-2-1</v>
      </c>
      <c r="B34" s="19" t="n">
        <f aca="false">IFERROR(__xludf.dummyfunction("""COMPUTED_VALUE"""),44754)</f>
        <v>44754</v>
      </c>
      <c r="C34" s="0" t="n">
        <f aca="false">IFERROR(__xludf.dummyfunction("""COMPUTED_VALUE"""),1)</f>
        <v>1</v>
      </c>
      <c r="D34" s="0" t="str">
        <f aca="false">IFERROR(__xludf.dummyfunction("""COMPUTED_VALUE"""),"AICI202116-22-2| Implementar el plan de auditoria de las RIAS en equipos operativos y dinamizador de la RPYMS (01/mar/2022 - 31/dic/2022)")</f>
        <v>AICI202116-22-2| Implementar el plan de auditoria de las RIAS en equipos operativos y dinamizador de la RPYMS (01/mar/2022 - 31/dic/2022)</v>
      </c>
      <c r="E34" s="0" t="str">
        <f aca="false">IFERROR(__xludf.dummyfunction("""COMPUTED_VALUE"""),"Esta acción tiene fecha de inicio 1/03/2022 y fecha de terminación 31/12/2022, se encuentra en desarrollo  ")</f>
        <v>Esta acción tiene fecha de inicio 1/03/2022 y fecha de terminación 31/12/2022, se encuentra en desarrollo  </v>
      </c>
      <c r="F34" s="0" t="str">
        <f aca="false">IFERROR(__xludf.dummyfunction("""COMPUTED_VALUE"""),"En desarrollo")</f>
        <v>En desarrollo</v>
      </c>
    </row>
    <row r="35" customFormat="false" ht="14.25" hidden="false" customHeight="false" outlineLevel="0" collapsed="false">
      <c r="A35" s="18" t="str">
        <f aca="false">IFERROR(MID(D35,1,FIND("|",D35)-1)&amp;"-"&amp;C35,"")</f>
        <v>AICI202116-1-1-2</v>
      </c>
      <c r="B35" s="19" t="n">
        <f aca="false">IFERROR(__xludf.dummyfunction("""COMPUTED_VALUE"""),44839)</f>
        <v>44839</v>
      </c>
      <c r="C35" s="0" t="n">
        <f aca="false">IFERROR(__xludf.dummyfunction("""COMPUTED_VALUE"""),2)</f>
        <v>2</v>
      </c>
      <c r="D35" s="0" t="str">
        <f aca="false">IFERROR(__xludf.dummyfunction("""COMPUTED_VALUE"""),"AICI202116-1-1| Socializar plan estrategico de la Direccion de Gestion del Riesgo al 90% con una meta 400 personas que involucran el talento humano que operativiza … (01/mar/2022 - 30/sept/2022)")</f>
        <v>AICI202116-1-1| Socializar plan estrategico de la Direccion de Gestion del Riesgo al 90% con una meta 400 personas que involucran el talento humano que operativiza … (01/mar/2022 - 30/sept/2022)</v>
      </c>
      <c r="E35" s="0" t="str">
        <f aca="false">IFERROR(__xludf.dummyfunction("""COMPUTED_VALUE"""),"Se evidencia acta de capacitación de la USS Rincón en la cual se socializa POA el 19082022. Las capacitaciones de POA de Boyacá real, Bellavista, Álamos, Garcés fueron repetidas al mismo personal x parte de lider ALNUT y  Líder CCVM y líder de salud menta"&amp;"l. Las capac de POA de Bachué se hicieron por Ruta de Cancer y respiratorios crónicos.Presentan soportes de reunión  realizada por la líder de infecciones, en ellas se menciona que se hace fortalecimiento POA, pero en el contenido de las actas no se toca "&amp;"el tema asociado al  las metas estrategicas del POA tal como lo indica la acción, sino los valores institucionales  además de lo anterior la socialización se realizó al personal de Salud Pública y no al personal de las unidades de servicios de salud que o"&amp;"perativizan las rutas.  Se presenta acta enviada de maternoperinatal no aborda tema de POA.  
Se avalan las capacitaciones presentadas  de las USS con los siguientes participantes: rincon 19, Gaitana 29, Boyacá, álamos, Garcés, Bellavista, 37, Emaus 11, c"&amp;"alle 80 12, bachué 7, quirigua 5,  Española 8, Orquideas 9, San Cristobal 20, CSE Suba 25, Usaquén 16, Simón 8 total 174 personas capacitadas. En conclusión no se cumplió la meta. Las actas fueron verificadas por la auditora en el drive suministrado por l"&amp;"a dirección de gestión del riesgo, no se anexan porque los archivos pesan demasiado.")</f>
        <v>Se evidencia acta de capacitación de la USS Rincón en la cual se socializa POA el 19082022. Las capacitaciones de POA de Boyacá real, Bellavista, Álamos, Garcés fueron repetidas al mismo personal x parte de lider ALNUT y  Líder CCVM y líder de salud mental. Las capac de POA de Bachué se hicieron por Ruta de Cancer y respiratorios crónicos.Presentan soportes de reunión  realizada por la líder de infecciones, en ellas se menciona que se hace fortalecimiento POA, pero en el contenido de las actas no se toca el tema asociado al  las metas estrategicas del POA tal como lo indica la acción, sino los valores institucionales  además de lo anterior la socialización se realizó al personal de Salud Pública y no al personal de las unidades de servicios de salud que operativizan las rutas.  Se presenta acta enviada de maternoperinatal no aborda tema de POA.  
Se avalan las capacitaciones presentadas  de las USS con los siguientes participantes: rincon 19, Gaitana 29, Boyacá, álamos, Garcés, Bellavista, 37, Emaus 11, calle 80 12, bachué 7, quirigua 5,  Española 8, Orquideas 9, San Cristobal 20, CSE Suba 25, Usaquén 16, Simón 8 total 174 personas capacitadas. En conclusión no se cumplió la meta. Las actas fueron verificadas por la auditora en el drive suministrado por la dirección de gestión del riesgo, no se anexan porque los archivos pesan demasiado.</v>
      </c>
      <c r="F35" s="0" t="str">
        <f aca="false">IFERROR(__xludf.dummyfunction("""COMPUTED_VALUE"""),"Atrasado")</f>
        <v>Atrasado</v>
      </c>
    </row>
    <row r="36" customFormat="false" ht="14.25" hidden="false" customHeight="false" outlineLevel="0" collapsed="false">
      <c r="A36" s="18" t="str">
        <f aca="false">IFERROR(MID(D36,1,FIND("|",D36)-1)&amp;"-"&amp;C36,"")</f>
        <v>AICI202116-3-1-2</v>
      </c>
      <c r="B36" s="19" t="n">
        <f aca="false">IFERROR(__xludf.dummyfunction("""COMPUTED_VALUE"""),44839)</f>
        <v>44839</v>
      </c>
      <c r="C36" s="0" t="n">
        <f aca="false">IFERROR(__xludf.dummyfunction("""COMPUTED_VALUE"""),2)</f>
        <v>2</v>
      </c>
      <c r="D36" s="0" t="str">
        <f aca="false">IFERROR(__xludf.dummyfunction("""COMPUTED_VALUE"""),"AICI202116-3-1| Trabajar las acciones para mitigar los riesgos con Desarrollo Institucional y la Direccion de Gestion del Riesgo articulando el del Mapa de Riesgo … (01-03-/2022 - 30/jun/2022)")</f>
        <v>AICI202116-3-1| Trabajar las acciones para mitigar los riesgos con Desarrollo Institucional y la Direccion de Gestion del Riesgo articulando el del Mapa de Riesgo … (01-03-/2022 - 30/jun/2022)</v>
      </c>
      <c r="E36" s="0" t="str">
        <f aca="false">IFERROR(__xludf.dummyfunction("""COMPUTED_VALUE"""),"Se evidencia formato de mapa de riesgos de fecha 2018 (es el que se encuentra vigente a la fecha)  con los riesgos identificados para el proceso de gestión del riesgo y los controles diseñados, de igual manera se describen la meta de cumplimiento  trimest"&amp;"ral de los controles y  el análisis de los resultados, no se anexan soportes de la implementación de los controles,  para respaldar el seguimiento y el análisis, ni tampoco la retroalimentación de acciones por parte de desarrollo institucional.  Se observ"&amp;"an correos y orfeo enviados por gestión del riesgo a la Oficina de desarrollo  Institucional solicitando la coordinación de actividades para dar respuesta a l requerimiento del mapa de riesgos. A pesar de que la acción está planteada con participación de "&amp;"desarrollo institucional no hay ningún soporte de su intervención en el proceso, por lo cual no hay cumplimiento de la acción.")</f>
        <v>Se evidencia formato de mapa de riesgos de fecha 2018 (es el que se encuentra vigente a la fecha)  con los riesgos identificados para el proceso de gestión del riesgo y los controles diseñados, de igual manera se describen la meta de cumplimiento  trimestral de los controles y  el análisis de los resultados, no se anexan soportes de la implementación de los controles,  para respaldar el seguimiento y el análisis, ni tampoco la retroalimentación de acciones por parte de desarrollo institucional.  Se observan correos y orfeo enviados por gestión del riesgo a la Oficina de desarrollo  Institucional solicitando la coordinación de actividades para dar respuesta a l requerimiento del mapa de riesgos. A pesar de que la acción está planteada con participación de desarrollo institucional no hay ningún soporte de su intervención en el proceso, por lo cual no hay cumplimiento de la acción.</v>
      </c>
      <c r="F36" s="0" t="str">
        <f aca="false">IFERROR(__xludf.dummyfunction("""COMPUTED_VALUE"""),"Atrasado")</f>
        <v>Atrasado</v>
      </c>
    </row>
    <row r="37" customFormat="false" ht="14.25" hidden="false" customHeight="false" outlineLevel="0" collapsed="false">
      <c r="A37" s="18" t="str">
        <f aca="false">IFERROR(MID(D37,1,FIND("|",D37)-1)&amp;"-"&amp;C37,"")</f>
        <v>AICI202116-4-1-2</v>
      </c>
      <c r="B37" s="19" t="n">
        <f aca="false">IFERROR(__xludf.dummyfunction("""COMPUTED_VALUE"""),44839)</f>
        <v>44839</v>
      </c>
      <c r="C37" s="0" t="n">
        <f aca="false">IFERROR(__xludf.dummyfunction("""COMPUTED_VALUE"""),2)</f>
        <v>2</v>
      </c>
      <c r="D37" s="0" t="str">
        <f aca="false">IFERROR(__xludf.dummyfunction("""COMPUTED_VALUE"""),"AICI202116-4-1| Actualizar la caracterizacion de la Direccion de Gestion del Riesgo y los procesos las actividades de las RIAS en los procesos procedimientos … (01/mar/2022 - 30/sept/2022)")</f>
        <v>AICI202116-4-1| Actualizar la caracterizacion de la Direccion de Gestion del Riesgo y los procesos las actividades de las RIAS en los procesos procedimientos … (01/mar/2022 - 30/sept/2022)</v>
      </c>
      <c r="E37" s="0" t="str">
        <f aca="false">IFERROR(__xludf.dummyfunction("""COMPUTED_VALUE"""),"Se presenta acta de reunión del 11 de julio de 2022  firmada por desarrollo institucional y gestión del riesgo, en la cual se solicita envío de caracterización  de gestión actualizada. El documento de caracterización del proceso incluyendo el tema de RIAS"&amp;", formalizado no es presentado.  .No se presenta soporte de actualización de procedimientos.")</f>
        <v>Se presenta acta de reunión del 11 de julio de 2022  firmada por desarrollo institucional y gestión del riesgo, en la cual se solicita envío de caracterización  de gestión actualizada. El documento de caracterización del proceso incluyendo el tema de RIAS, formalizado no es presentado.  .No se presenta soporte de actualización de procedimientos.</v>
      </c>
      <c r="F37" s="0" t="str">
        <f aca="false">IFERROR(__xludf.dummyfunction("""COMPUTED_VALUE"""),"Atrasado")</f>
        <v>Atrasado</v>
      </c>
    </row>
    <row r="38" customFormat="false" ht="14.25" hidden="false" customHeight="false" outlineLevel="0" collapsed="false">
      <c r="A38" s="18" t="str">
        <f aca="false">IFERROR(MID(D38,1,FIND("|",D38)-1)&amp;"-"&amp;C38,"")</f>
        <v>AICI202116-5-1-2</v>
      </c>
      <c r="B38" s="19" t="n">
        <f aca="false">IFERROR(__xludf.dummyfunction("""COMPUTED_VALUE"""),44839)</f>
        <v>44839</v>
      </c>
      <c r="C38" s="0" t="n">
        <f aca="false">IFERROR(__xludf.dummyfunction("""COMPUTED_VALUE"""),2)</f>
        <v>2</v>
      </c>
      <c r="D38" s="0" t="str">
        <f aca="false">IFERROR(__xludf.dummyfunction("""COMPUTED_VALUE"""),"AICI202116-5-1| Actualizar los Instructivos correspondientes a la ejecución de actividades de Todas RIAS según normatividad vigente (10/feb/2022 - 31/may/2022)")</f>
        <v>AICI202116-5-1| Actualizar los Instructivos correspondientes a la ejecución de actividades de Todas RIAS según normatividad vigente (10/feb/2022 - 31/may/2022)</v>
      </c>
      <c r="E38" s="0" t="str">
        <f aca="false">IFERROR(__xludf.dummyfunction("""COMPUTED_VALUE"""),"Se evidencia en el link de archivos compartidos por la dirección de gestión del Riesgo,  el documento actualizado de RIAS infecciones, PSA, Cáncer, CCVM, Maternoperinatal, Promoción y Mantenimiento de la Salud. No se envío información de RIA de Alteracion"&amp;"es nutricionales, salud mental, violencias, y Enfermedades respitratorias crónicas, por lo cual se concluye que no se ha cumplido con la acción.  ")</f>
        <v>Se evidencia en el link de archivos compartidos por la dirección de gestión del Riesgo,  el documento actualizado de RIAS infecciones, PSA, Cáncer, CCVM, Maternoperinatal, Promoción y Mantenimiento de la Salud. No se envío información de RIA de Alteraciones nutricionales, salud mental, violencias, y Enfermedades respitratorias crónicas, por lo cual se concluye que no se ha cumplido con la acción.  </v>
      </c>
      <c r="F38" s="0" t="str">
        <f aca="false">IFERROR(__xludf.dummyfunction("""COMPUTED_VALUE"""),"Atrasado")</f>
        <v>Atrasado</v>
      </c>
    </row>
    <row r="39" customFormat="false" ht="14.25" hidden="false" customHeight="false" outlineLevel="0" collapsed="false">
      <c r="A39" s="18" t="str">
        <f aca="false">IFERROR(MID(D39,1,FIND("|",D39)-1)&amp;"-"&amp;C39,"")</f>
        <v>AICI202116-6-1-2</v>
      </c>
      <c r="B39" s="19" t="n">
        <f aca="false">IFERROR(__xludf.dummyfunction("""COMPUTED_VALUE"""),44839)</f>
        <v>44839</v>
      </c>
      <c r="C39" s="0" t="n">
        <f aca="false">IFERROR(__xludf.dummyfunction("""COMPUTED_VALUE"""),2)</f>
        <v>2</v>
      </c>
      <c r="D39" s="0" t="str">
        <f aca="false">IFERROR(__xludf.dummyfunction("""COMPUTED_VALUE"""),"AICI202116-6-1| Actualizar los documentos de RIAS incluyendo manejo de bases de datos, entrega actualizada de estas a las unidades de atención (01/mar/2022 - 30/jun/2022)")</f>
        <v>AICI202116-6-1| Actualizar los documentos de RIAS incluyendo manejo de bases de datos, entrega actualizada de estas a las unidades de atención (01/mar/2022 - 30/jun/2022)</v>
      </c>
      <c r="E39" s="0" t="str">
        <f aca="false">IFERROR(__xludf.dummyfunction("""COMPUTED_VALUE"""),"Se evidencia en el link de archivos compartidos por la dirección de Gestión del Riesgo,  el documento actualizado de RIAS infecciones, PSA, Cáncer, CCVM, Maternoperinatal, Promoción y Mantenimiento de la Salud,  No tiene descrito el manejo de bases de dat"&amp;"os, entrega actualizada de estas a las unidades de atención. No se envío información de RIA de Alteraciones nutricionales, salud mental, violencias, y Enfermedades respitratorias crónicas.  Por lo tanto la acción se encuentra atrasada.")</f>
        <v>Se evidencia en el link de archivos compartidos por la dirección de Gestión del Riesgo,  el documento actualizado de RIAS infecciones, PSA, Cáncer, CCVM, Maternoperinatal, Promoción y Mantenimiento de la Salud,  No tiene descrito el manejo de bases de datos, entrega actualizada de estas a las unidades de atención. No se envío información de RIA de Alteraciones nutricionales, salud mental, violencias, y Enfermedades respitratorias crónicas.  Por lo tanto la acción se encuentra atrasada.</v>
      </c>
      <c r="F39" s="0" t="str">
        <f aca="false">IFERROR(__xludf.dummyfunction("""COMPUTED_VALUE"""),"Atrasado")</f>
        <v>Atrasado</v>
      </c>
    </row>
    <row r="40" customFormat="false" ht="14.25" hidden="false" customHeight="false" outlineLevel="0" collapsed="false">
      <c r="A40" s="18" t="str">
        <f aca="false">IFERROR(MID(D40,1,FIND("|",D40)-1)&amp;"-"&amp;C40,"")</f>
        <v>AICI202116-6-2-2</v>
      </c>
      <c r="B40" s="19" t="n">
        <f aca="false">IFERROR(__xludf.dummyfunction("""COMPUTED_VALUE"""),44839)</f>
        <v>44839</v>
      </c>
      <c r="C40" s="0" t="n">
        <f aca="false">IFERROR(__xludf.dummyfunction("""COMPUTED_VALUE"""),2)</f>
        <v>2</v>
      </c>
      <c r="D40" s="0" t="str">
        <f aca="false">IFERROR(__xludf.dummyfunction("""COMPUTED_VALUE"""),"AICI202116-6-2| Socializar los documentos de RIAS, mencionados en la acción anterior al 95% de cada uno de los referentes de las unidades y de los técnicos y … (01/mar/2022 - 30/jun/2022)")</f>
        <v>AICI202116-6-2| Socializar los documentos de RIAS, mencionados en la acción anterior al 95% de cada uno de los referentes de las unidades y de los técnicos y … (01/mar/2022 - 30/jun/2022)</v>
      </c>
      <c r="E40" s="0" t="str">
        <f aca="false">IFERROR(__xludf.dummyfunction("""COMPUTED_VALUE"""),"Los Documentos de RIAS de la acción anterior no cumplen por ende esta accion derivada tampoco lo hace. Se presentan soportes de socializaciones  realizadas por los líderes de las RIAS a diferentes equipos de trabajo, pero no corresponde a la sociaización "&amp;"de los documentos de las RIAS en los cuales se especifique el manejo el manejo de las bases de datos y la adscripción por lo tanto la acción se encuentra atrasada.")</f>
        <v>Los Documentos de RIAS de la acción anterior no cumplen por ende esta accion derivada tampoco lo hace. Se presentan soportes de socializaciones  realizadas por los líderes de las RIAS a diferentes equipos de trabajo, pero no corresponde a la sociaización de los documentos de las RIAS en los cuales se especifique el manejo el manejo de las bases de datos y la adscripción por lo tanto la acción se encuentra atrasada.</v>
      </c>
      <c r="F40" s="0" t="str">
        <f aca="false">IFERROR(__xludf.dummyfunction("""COMPUTED_VALUE"""),"Atrasado")</f>
        <v>Atrasado</v>
      </c>
    </row>
    <row r="41" customFormat="false" ht="14.25" hidden="false" customHeight="false" outlineLevel="0" collapsed="false">
      <c r="A41" s="18" t="str">
        <f aca="false">IFERROR(MID(D41,1,FIND("|",D41)-1)&amp;"-"&amp;C41,"")</f>
        <v>AICI202116-8-1-2</v>
      </c>
      <c r="B41" s="19" t="n">
        <f aca="false">IFERROR(__xludf.dummyfunction("""COMPUTED_VALUE"""),44839)</f>
        <v>44839</v>
      </c>
      <c r="C41" s="0" t="n">
        <f aca="false">IFERROR(__xludf.dummyfunction("""COMPUTED_VALUE"""),2)</f>
        <v>2</v>
      </c>
      <c r="D41" s="0" t="str">
        <f aca="false">IFERROR(__xludf.dummyfunction("""COMPUTED_VALUE"""),"AICI202116-8-1| Socializar al 80% con una meta de 400 colaboradores involucrados en la implementacion del proceso de captacion y demanda inducida de los usuarios … (01/mar/2022 - 30/sept/2022)")</f>
        <v>AICI202116-8-1| Socializar al 80% con una meta de 400 colaboradores involucrados en la implementacion del proceso de captacion y demanda inducida de los usuarios … (01/mar/2022 - 30/sept/2022)</v>
      </c>
      <c r="E41" s="0" t="str">
        <f aca="false">IFERROR(__xludf.dummyfunction("""COMPUTED_VALUE"""),"Se presentan como soporte muchas actas de socializaciones de fortalecimiento y reuniones  temáticas de RIAS, algunas de las cuales no mencionan siquiera el tema de la estandarización de la  captación o la demanda inducida a las RIAS tal como lo pide la ac"&amp;"ción.  No se presenta contabiizado el personal capacitado para poder establecer el cumplimiento de la meta.  Hay soportes de socializacion de RIAS cuyos documentos base no han sido actualizados y estandarizados con el tema en cuestión por ejemplo salud me"&amp;"ntal y ERC lo cual no es pertinente.  Estado de la acción atrasada.")</f>
        <v>Se presentan como soporte muchas actas de socializaciones de fortalecimiento y reuniones  temáticas de RIAS, algunas de las cuales no mencionan siquiera el tema de la estandarización de la  captación o la demanda inducida a las RIAS tal como lo pide la acción.  No se presenta contabiizado el personal capacitado para poder establecer el cumplimiento de la meta.  Hay soportes de socializacion de RIAS cuyos documentos base no han sido actualizados y estandarizados con el tema en cuestión por ejemplo salud mental y ERC lo cual no es pertinente.  Estado de la acción atrasada.</v>
      </c>
      <c r="F41" s="0" t="str">
        <f aca="false">IFERROR(__xludf.dummyfunction("""COMPUTED_VALUE"""),"Atrasado")</f>
        <v>Atrasado</v>
      </c>
    </row>
    <row r="42" customFormat="false" ht="14.25" hidden="false" customHeight="false" outlineLevel="0" collapsed="false">
      <c r="A42" s="18" t="str">
        <f aca="false">IFERROR(MID(D42,1,FIND("|",D42)-1)&amp;"-"&amp;C42,"")</f>
        <v>AICI202116-9-1-2</v>
      </c>
      <c r="B42" s="19" t="n">
        <f aca="false">IFERROR(__xludf.dummyfunction("""COMPUTED_VALUE"""),44839)</f>
        <v>44839</v>
      </c>
      <c r="C42" s="0" t="n">
        <f aca="false">IFERROR(__xludf.dummyfunction("""COMPUTED_VALUE"""),2)</f>
        <v>2</v>
      </c>
      <c r="D42" s="0" t="str">
        <f aca="false">IFERROR(__xludf.dummyfunction("""COMPUTED_VALUE"""),"AICI202116-9-1| Elaborar documento de gestion de la informacion de RIAS que incluya la estandarización de la gestión de las bases de datos de RIAS, sus puntos… (01/mar/2022 - 30/sept/2022)")</f>
        <v>AICI202116-9-1| Elaborar documento de gestion de la informacion de RIAS que incluya la estandarización de la gestión de las bases de datos de RIAS, sus puntos… (01/mar/2022 - 30/sept/2022)</v>
      </c>
      <c r="E42" s="0" t="str">
        <f aca="false">IFERROR(__xludf.dummyfunction("""COMPUTED_VALUE"""),"Se presenta el DOCUMENTO INSTRUCTIVO SISTEMAS DE INFORMACION RUTAS INTEGRALES DE  ATENCION EN SALUD, el cual no se encuentra normalizado, no incluye la descripción  la estandarización  de la gestión de las bases de datos de RIAS, sus puntos de control, lo"&amp;"s mecanismos de verificación de la información. por lo tanto la acción se encuentra atrasada.")</f>
        <v>Se presenta el DOCUMENTO INSTRUCTIVO SISTEMAS DE INFORMACION RUTAS INTEGRALES DE  ATENCION EN SALUD, el cual no se encuentra normalizado, no incluye la descripción  la estandarización  de la gestión de las bases de datos de RIAS, sus puntos de control, los mecanismos de verificación de la información. por lo tanto la acción se encuentra atrasada.</v>
      </c>
      <c r="F42" s="0" t="str">
        <f aca="false">IFERROR(__xludf.dummyfunction("""COMPUTED_VALUE"""),"Atrasado")</f>
        <v>Atrasado</v>
      </c>
    </row>
    <row r="43" customFormat="false" ht="14.25" hidden="false" customHeight="false" outlineLevel="0" collapsed="false">
      <c r="A43" s="18" t="str">
        <f aca="false">IFERROR(MID(D43,1,FIND("|",D43)-1)&amp;"-"&amp;C43,"")</f>
        <v>AICI202116-9-2-2</v>
      </c>
      <c r="B43" s="19" t="n">
        <f aca="false">IFERROR(__xludf.dummyfunction("""COMPUTED_VALUE"""),44839)</f>
        <v>44839</v>
      </c>
      <c r="C43" s="0" t="n">
        <f aca="false">IFERROR(__xludf.dummyfunction("""COMPUTED_VALUE"""),2)</f>
        <v>2</v>
      </c>
      <c r="D43" s="0" t="str">
        <f aca="false">IFERROR(__xludf.dummyfunction("""COMPUTED_VALUE"""),"AICI202116-9-2| Socializar los documentos de RIAS, mencionados en la acción anterior al 95% de cada uno de los referentes de las unidades con una meta de 100 … (01/mar/2022 - 30/sept/2022)")</f>
        <v>AICI202116-9-2| Socializar los documentos de RIAS, mencionados en la acción anterior al 95% de cada uno de los referentes de las unidades con una meta de 100 … (01/mar/2022 - 30/sept/2022)</v>
      </c>
      <c r="E43" s="0" t="str">
        <f aca="false">IFERROR(__xludf.dummyfunction("""COMPUTED_VALUE"""),"No se presentan soportes, dado que el documento no está normalizado. Estado de l acción atrasado.")</f>
        <v>No se presentan soportes, dado que el documento no está normalizado. Estado de l acción atrasado.</v>
      </c>
      <c r="F43" s="0" t="str">
        <f aca="false">IFERROR(__xludf.dummyfunction("""COMPUTED_VALUE"""),"Atrasado")</f>
        <v>Atrasado</v>
      </c>
    </row>
    <row r="44" customFormat="false" ht="14.25" hidden="false" customHeight="false" outlineLevel="0" collapsed="false">
      <c r="A44" s="18" t="str">
        <f aca="false">IFERROR(MID(D44,1,FIND("|",D44)-1)&amp;"-"&amp;C44,"")</f>
        <v>AICI202116-10-1-2</v>
      </c>
      <c r="B44" s="19" t="n">
        <f aca="false">IFERROR(__xludf.dummyfunction("""COMPUTED_VALUE"""),44839)</f>
        <v>44839</v>
      </c>
      <c r="C44" s="0" t="n">
        <f aca="false">IFERROR(__xludf.dummyfunction("""COMPUTED_VALUE"""),2)</f>
        <v>2</v>
      </c>
      <c r="D44" s="0" t="str">
        <f aca="false">IFERROR(__xludf.dummyfunction("""COMPUTED_VALUE"""),"AICI202116-10-1| Socializar al 80% con una meta de 100 colaboradores que operativiza las Rutas,la Linea de mando y flujo de comunicación de las rutas integrales … (01/mar/2022 - 31/may/2022)")</f>
        <v>AICI202116-10-1| Socializar al 80% con una meta de 100 colaboradores que operativiza las Rutas,la Linea de mando y flujo de comunicación de las rutas integrales … (01/mar/2022 - 31/may/2022)</v>
      </c>
      <c r="E44" s="0" t="str">
        <f aca="false">IFERROR(__xludf.dummyfunction("""COMPUTED_VALUE"""),"Se observan soportes de socialización de ""organigrama"" por parte de las Rutas Salud mental, ERC, maternoperinatal, CCVM estas socializaciones fueron realizadas a personal de atención al usuario, personal de gestión del riesgo. No se observa difusión de "&amp;"la información de linea de mando y flujo de comunicación al personal que operativiza las rutas en servicios ambulatorios, urgencias, hospitalización y complementarios, tampoco hay  socialización por parte de las demás rutas , no se presenta relación cuant"&amp;"itativa del personal  socializado para establecer avance de la socialización. Estado de la acción. atrasado.")</f>
        <v>Se observan soportes de socialización de "organigrama" por parte de las Rutas Salud mental, ERC, maternoperinatal, CCVM estas socializaciones fueron realizadas a personal de atención al usuario, personal de gestión del riesgo. No se observa difusión de la información de linea de mando y flujo de comunicación al personal que operativiza las rutas en servicios ambulatorios, urgencias, hospitalización y complementarios, tampoco hay  socialización por parte de las demás rutas , no se presenta relación cuantitativa del personal  socializado para establecer avance de la socialización. Estado de la acción. atrasado.</v>
      </c>
      <c r="F44" s="0" t="str">
        <f aca="false">IFERROR(__xludf.dummyfunction("""COMPUTED_VALUE"""),"Atrasado")</f>
        <v>Atrasado</v>
      </c>
    </row>
    <row r="45" customFormat="false" ht="14.25" hidden="false" customHeight="false" outlineLevel="0" collapsed="false">
      <c r="A45" s="18" t="str">
        <f aca="false">IFERROR(MID(D45,1,FIND("|",D45)-1)&amp;"-"&amp;C45,"")</f>
        <v>AICI202116-14-1-2</v>
      </c>
      <c r="B45" s="19" t="n">
        <f aca="false">IFERROR(__xludf.dummyfunction("""COMPUTED_VALUE"""),44839)</f>
        <v>44839</v>
      </c>
      <c r="C45" s="0" t="n">
        <f aca="false">IFERROR(__xludf.dummyfunction("""COMPUTED_VALUE"""),2)</f>
        <v>2</v>
      </c>
      <c r="D45" s="0" t="str">
        <f aca="false">IFERROR(__xludf.dummyfunction("""COMPUTED_VALUE"""),"AICI202116-14-1| Actualizar documentos de RIA PYMS incluyendo manejo de bases de datos, entrega actualizada de estas a las unidades de atención, Mecanismos de … (01/mar/2022 - 30/jun/2022)")</f>
        <v>AICI202116-14-1| Actualizar documentos de RIA PYMS incluyendo manejo de bases de datos, entrega actualizada de estas a las unidades de atención, Mecanismos de … (01/mar/2022 - 30/jun/2022)</v>
      </c>
      <c r="E45" s="0" t="str">
        <f aca="false">IFERROR(__xludf.dummyfunction("""COMPUTED_VALUE"""),"Se presenta documento IMPLEMENTACIÓN RUTA PROMOCIÓN Y MANTENIMIENTO CÓDIGO: MI-RS-I-68-01.  este documento no describe  el proceso  para el manejo de las bases de datos, su entrega de bases a las unidades, mecanismos de agendamiento de citas de P y D, mea"&amp;"nismos de adcripcion en las diferentes Unidades de atención en las cuales opera. solo menciona el tema tangencialmente sin dar parámetros para su manejo. Como se mencionó antes el instructivo de sistemas de información de rutas tampoco menciona la informa"&amp;"ción requerida y además este último no está normalizado. Estado de la acción. atrasado")</f>
        <v>Se presenta documento IMPLEMENTACIÓN RUTA PROMOCIÓN Y MANTENIMIENTO CÓDIGO: MI-RS-I-68-01.  este documento no describe  el proceso  para el manejo de las bases de datos, su entrega de bases a las unidades, mecanismos de agendamiento de citas de P y D, meanismos de adcripcion en las diferentes Unidades de atención en las cuales opera. solo menciona el tema tangencialmente sin dar parámetros para su manejo. Como se mencionó antes el instructivo de sistemas de información de rutas tampoco menciona la información requerida y además este último no está normalizado. Estado de la acción. atrasado</v>
      </c>
      <c r="F45" s="0" t="str">
        <f aca="false">IFERROR(__xludf.dummyfunction("""COMPUTED_VALUE"""),"Atrasado")</f>
        <v>Atrasado</v>
      </c>
    </row>
    <row r="46" customFormat="false" ht="14.25" hidden="false" customHeight="false" outlineLevel="0" collapsed="false">
      <c r="A46" s="18" t="str">
        <f aca="false">IFERROR(MID(D46,1,FIND("|",D46)-1)&amp;"-"&amp;C46,"")</f>
        <v>AICI202116-14-2-2</v>
      </c>
      <c r="B46" s="19" t="n">
        <f aca="false">IFERROR(__xludf.dummyfunction("""COMPUTED_VALUE"""),44839)</f>
        <v>44839</v>
      </c>
      <c r="C46" s="0" t="n">
        <f aca="false">IFERROR(__xludf.dummyfunction("""COMPUTED_VALUE"""),2)</f>
        <v>2</v>
      </c>
      <c r="D46" s="0" t="str">
        <f aca="false">IFERROR(__xludf.dummyfunction("""COMPUTED_VALUE"""),"AICI202116-14-2| Socializar al 95% del personal de las unidades que operativizan el proceso la adscripcion a la unidad y a las RIAS de la poblacion asignada: 10 … (01/mar/2022 - 30/jun/2022)")</f>
        <v>AICI202116-14-2| Socializar al 95% del personal de las unidades que operativizan el proceso la adscripcion a la unidad y a las RIAS de la poblacion asignada: 10 … (01/mar/2022 - 30/jun/2022)</v>
      </c>
      <c r="E46" s="0" t="str">
        <f aca="false">IFERROR(__xludf.dummyfunction("""COMPUTED_VALUE"""),"Dado que no se cumple con la acción anterior, el proceso de socialización tampoco se cumple. Tener en cuenta: Enviaron actas de fechas enero y febrero de 2022 periodo en el cual no se había iniciado la acción (1/03/2022) y no se había normalizado el instr"&amp;"uctivo que se supone debía contener la información requerida, los soportes deben ser coherentes con lo planteado. Estado de la acción atrasada.")</f>
        <v>Dado que no se cumple con la acción anterior, el proceso de socialización tampoco se cumple. Tener en cuenta: Enviaron actas de fechas enero y febrero de 2022 periodo en el cual no se había iniciado la acción (1/03/2022) y no se había normalizado el instructivo que se supone debía contener la información requerida, los soportes deben ser coherentes con lo planteado. Estado de la acción atrasada.</v>
      </c>
      <c r="F46" s="0" t="str">
        <f aca="false">IFERROR(__xludf.dummyfunction("""COMPUTED_VALUE"""),"Atrasado")</f>
        <v>Atrasado</v>
      </c>
    </row>
    <row r="47" customFormat="false" ht="14.25" hidden="false" customHeight="false" outlineLevel="0" collapsed="false">
      <c r="A47" s="18" t="str">
        <f aca="false">IFERROR(MID(D47,1,FIND("|",D47)-1)&amp;"-"&amp;C47,"")</f>
        <v>AICI202116-21-1-2</v>
      </c>
      <c r="B47" s="19" t="n">
        <f aca="false">IFERROR(__xludf.dummyfunction("""COMPUTED_VALUE"""),44839)</f>
        <v>44839</v>
      </c>
      <c r="C47" s="0" t="n">
        <f aca="false">IFERROR(__xludf.dummyfunction("""COMPUTED_VALUE"""),2)</f>
        <v>2</v>
      </c>
      <c r="D47" s="0" t="str">
        <f aca="false">IFERROR(__xludf.dummyfunction("""COMPUTED_VALUE"""),"AICI202116-21-1| Socializar el procedimiento de gestion documental de la subrednorte sobre el manejo de la informacion y su custodia a los 10 referentes de las … (18/ene/2022 - 28/may/2022)")</f>
        <v>AICI202116-21-1| Socializar el procedimiento de gestion documental de la subrednorte sobre el manejo de la informacion y su custodia a los 10 referentes de las … (18/ene/2022 - 28/may/2022)</v>
      </c>
      <c r="E47" s="0" t="str">
        <f aca="false">IFERROR(__xludf.dummyfunction("""COMPUTED_VALUE"""),"Se evidencia pantallazo de correo divulgando instructivo de copia de seguridad backup a 2 colaboradores.  No se evidencian otros soportes de cumplimiento por lo que no se cumple con la meta establecida, Estado de la acción atrasada.")</f>
        <v>Se evidencia pantallazo de correo divulgando instructivo de copia de seguridad backup a 2 colaboradores.  No se evidencian otros soportes de cumplimiento por lo que no se cumple con la meta establecida, Estado de la acción atrasada.</v>
      </c>
      <c r="F47" s="0" t="str">
        <f aca="false">IFERROR(__xludf.dummyfunction("""COMPUTED_VALUE"""),"Atrasado")</f>
        <v>Atrasado</v>
      </c>
    </row>
    <row r="48" customFormat="false" ht="14.25" hidden="false" customHeight="false" outlineLevel="0" collapsed="false">
      <c r="A48" s="18" t="str">
        <f aca="false">IFERROR(MID(D48,1,FIND("|",D48)-1)&amp;"-"&amp;C48,"")</f>
        <v>AICI202116-21-2-2</v>
      </c>
      <c r="B48" s="19" t="n">
        <f aca="false">IFERROR(__xludf.dummyfunction("""COMPUTED_VALUE"""),44839)</f>
        <v>44839</v>
      </c>
      <c r="C48" s="0" t="n">
        <f aca="false">IFERROR(__xludf.dummyfunction("""COMPUTED_VALUE"""),2)</f>
        <v>2</v>
      </c>
      <c r="D48" s="0" t="str">
        <f aca="false">IFERROR(__xludf.dummyfunction("""COMPUTED_VALUE"""),"AICI202116-21-2| Definir e implementar el procedimiento de backup de la informacion de la RPMS y realizar la solicitud de equipos tecnologicos requeridos al area … (18/ene/2022 - 28/may/2022)")</f>
        <v>AICI202116-21-2| Definir e implementar el procedimiento de backup de la informacion de la RPMS y realizar la solicitud de equipos tecnologicos requeridos al area … (18/ene/2022 - 28/may/2022)</v>
      </c>
      <c r="E48" s="0" t="str">
        <f aca="false">IFERROR(__xludf.dummyfunction("""COMPUTED_VALUE"""),"Se evidencia trámite realizado ante la Oficina de Sistemas para solicitar los equipos de computo, ante lo cual se respondió que no es posible, como alternativa se asignó un correo con capacidad de 1 Tera para que sea utilizado como repositorio de informac"&amp;"ión, procedimiento que estará a cargo de la líder de la ruta. Se anexan actas de la gestión. 
Se evidencia plan de trabajo para establecer los backup de la RPMS, el plan esá firmado por la lider de la Ruta Jefe Johana Castillo, enuncia las acciones, pero "&amp;"no tiene ninguna fecha de suscripción del plan, fechas de cumplimiento de las acciones, ni soporte de cumplimiento de las mismas, por lo cual no es posible evidenciar la implementación del  procedimiento de backup de la informacion de la RPMS. Estado de l"&amp;"a acción atrasada.")</f>
        <v>Se evidencia trámite realizado ante la Oficina de Sistemas para solicitar los equipos de computo, ante lo cual se respondió que no es posible, como alternativa se asignó un correo con capacidad de 1 Tera para que sea utilizado como repositorio de información, procedimiento que estará a cargo de la líder de la ruta. Se anexan actas de la gestión. 
Se evidencia plan de trabajo para establecer los backup de la RPMS, el plan esá firmado por la lider de la Ruta Jefe Johana Castillo, enuncia las acciones, pero no tiene ninguna fecha de suscripción del plan, fechas de cumplimiento de las acciones, ni soporte de cumplimiento de las mismas, por lo cual no es posible evidenciar la implementación del  procedimiento de backup de la informacion de la RPMS. Estado de la acción atrasada.</v>
      </c>
      <c r="F48" s="0" t="str">
        <f aca="false">IFERROR(__xludf.dummyfunction("""COMPUTED_VALUE"""),"Atrasado")</f>
        <v>Atrasado</v>
      </c>
    </row>
    <row r="49" customFormat="false" ht="14.25" hidden="false" customHeight="false" outlineLevel="0" collapsed="false">
      <c r="A49" s="18" t="str">
        <f aca="false">IFERROR(MID(D49,1,FIND("|",D49)-1)&amp;"-"&amp;C49,"")</f>
        <v>AICI202116-1-1-3</v>
      </c>
      <c r="B49" s="19" t="n">
        <f aca="false">IFERROR(__xludf.dummyfunction("""COMPUTED_VALUE"""),44938)</f>
        <v>44938</v>
      </c>
      <c r="C49" s="0" t="n">
        <f aca="false">IFERROR(__xludf.dummyfunction("""COMPUTED_VALUE"""),3)</f>
        <v>3</v>
      </c>
      <c r="D49" s="0" t="str">
        <f aca="false">IFERROR(__xludf.dummyfunction("""COMPUTED_VALUE"""),"AICI202116-1-1| Socializar plan estrategico de la Direccion de Gestion del Riesgo al 90% con una meta 400 personas que involucran el talento humano que operativiza … (01/mar/2022 - 30/sept/2022)")</f>
        <v>AICI202116-1-1| Socializar plan estrategico de la Direccion de Gestion del Riesgo al 90% con una meta 400 personas que involucran el talento humano que operativiza … (01/mar/2022 - 30/sept/2022)</v>
      </c>
      <c r="E49" s="0" t="str">
        <f aca="false">IFERROR(__xludf.dummyfunction("""COMPUTED_VALUE"""),"Se Realiza revisión de actas de reunión y socialización  a diferentes   unidades de Servicio  donde se evidencian dentro de los temas la socialización del POA  según las actas de asistencia   superan las 400 personas a las que se socializo las metas  ( 42"&amp;"6) 19/08/2022: USS Gaitana a 25 personas - 19/08/2022: USS Rincón a 17 personas - 26/08/2022:USS Emaús a 9 personas - 11/08/2022: USS Orquídeas a 9 personas - 10/08/2022: USS San cristóbal a 20 personas - 26/08/2022: USS Boyaca Real, Bellavista y Álamos a"&amp;" 36 personas -7/08/2022: USS Simon Bolivar a 8 personas - 30/08/2022: USS Usaquén a 4 personas - 16/08/2022: USS Bachue a 2 personas - 24/08/2022: CES Suba a 25 personas - 1/08/2022: USS bellavista- USS San Luis a 11 personas - 3/08/2022: USS Calle 80 a 1"&amp;"2 personas - 19/08/2022: USS Española a 8 personas - 16/08/2022: USS Quirigua a 5 personas - 16/08/2022: USS Bachue a 2 personas -26/08/2022: USS Bachue a 8 personas - 19/08/2022: USS Suba a 9 personas - 20/08/2022: USS Santa Cecilia a 2 personas - 21/11/"&amp;"2022: Hospitalización a 89 personas 29/11/2022: Hospitalización a 125 personas.")</f>
        <v>Se Realiza revisión de actas de reunión y socialización  a diferentes   unidades de Servicio  donde se evidencian dentro de los temas la socialización del POA  según las actas de asistencia   superan las 400 personas a las que se socializo las metas  ( 426) 19/08/2022: USS Gaitana a 25 personas - 19/08/2022: USS Rincón a 17 personas - 26/08/2022:USS Emaús a 9 personas - 11/08/2022: USS Orquídeas a 9 personas - 10/08/2022: USS San cristóbal a 20 personas - 26/08/2022: USS Boyaca Real, Bellavista y Álamos a 36 personas -7/08/2022: USS Simon Bolivar a 8 personas - 30/08/2022: USS Usaquén a 4 personas - 16/08/2022: USS Bachue a 2 personas - 24/08/2022: CES Suba a 25 personas - 1/08/2022: USS bellavista- USS San Luis a 11 personas - 3/08/2022: USS Calle 80 a 12 personas - 19/08/2022: USS Española a 8 personas - 16/08/2022: USS Quirigua a 5 personas - 16/08/2022: USS Bachue a 2 personas -26/08/2022: USS Bachue a 8 personas - 19/08/2022: USS Suba a 9 personas - 20/08/2022: USS Santa Cecilia a 2 personas - 21/11/2022: Hospitalización a 89 personas 29/11/2022: Hospitalización a 125 personas.</v>
      </c>
      <c r="F49" s="0" t="str">
        <f aca="false">IFERROR(__xludf.dummyfunction("""COMPUTED_VALUE"""),"Completo")</f>
        <v>Completo</v>
      </c>
      <c r="G49" s="0" t="str">
        <f aca="false">IFERROR(__xludf.dummyfunction("""COMPUTED_VALUE"""),"Sí")</f>
        <v>Sí</v>
      </c>
    </row>
    <row r="50" customFormat="false" ht="14.25" hidden="false" customHeight="false" outlineLevel="0" collapsed="false">
      <c r="A50" s="18" t="str">
        <f aca="false">IFERROR(MID(D50,1,FIND("|",D50)-1)&amp;"-"&amp;C50,"")</f>
        <v>AICI202116-2-1-3</v>
      </c>
      <c r="B50" s="19" t="n">
        <f aca="false">IFERROR(__xludf.dummyfunction("""COMPUTED_VALUE"""),44938)</f>
        <v>44938</v>
      </c>
      <c r="C50" s="0" t="n">
        <f aca="false">IFERROR(__xludf.dummyfunction("""COMPUTED_VALUE"""),3)</f>
        <v>3</v>
      </c>
      <c r="D50" s="0" t="str">
        <f aca="false">IFERROR(__xludf.dummyfunction("""COMPUTED_VALUE"""),"AICI202116-2-1| Actualizar los documentos de todas las Rutas, adicionando item de: 1. Capacidad instalada y talento humano de acuerdoa la poblacion asginada. 2… (01/mar/2022 - 30/nov/2022)")</f>
        <v>AICI202116-2-1| Actualizar los documentos de todas las Rutas, adicionando item de: 1. Capacidad instalada y talento humano de acuerdoa la poblacion asginada. 2… (01/mar/2022 - 30/nov/2022)</v>
      </c>
      <c r="E50" s="0" t="str">
        <f aca="false">IFERROR(__xludf.dummyfunction("""COMPUTED_VALUE"""),"Se observa envío de instructivo de capacidad instalada rutas instaladas cod MI-RS-I-72-01. el cual define como objetivo ""Organizar y orientar a la subred norte en la disponibilidad de infraestructura necesaria para la prestación de los servicios, generan"&amp;"do una visión general y completa para conocer servicios ofertados por la subred a las EAPB, brindando la posibilidad de gestionar cambios necesarios que permita actuar con calidad, cubriendo las expectativas de servicios a los usuarios internos y externos"&amp;""". y no establece de manera específica la  capacidad instalada por cada una de las RIAS, ni los parámetros para calcularla, solo refiere el tema general de la existencia de los servicios en las diferentes sedes de la Subred según el REPS. No cumple
Se pr"&amp;"esenta documento MI-RS-I-73-01-Flujo de información y canales de comunicaciones RIAS.pdf,  Cumple
Se observan normalizadas ruta P y M, CCV, AN, Maternoperinatal, salud mental. No se observa ruta de violencias, ni EPOC, no cumple no se incluyeron todos los"&amp;" datos definidos en la acción en los documentos de las RIAS presentados. Acción atrasada.")</f>
        <v>Se observa envío de instructivo de capacidad instalada rutas instaladas cod MI-RS-I-72-01. el cual define como objetivo "Organizar y orientar a la subred norte en la disponibilidad de infraestructura necesaria para la prestación de los servicios, generando una visión general y completa para conocer servicios ofertados por la subred a las EAPB, brindando la posibilidad de gestionar cambios necesarios que permita actuar con calidad, cubriendo las expectativas de servicios a los usuarios internos y externos". y no establece de manera específica la  capacidad instalada por cada una de las RIAS, ni los parámetros para calcularla, solo refiere el tema general de la existencia de los servicios en las diferentes sedes de la Subred según el REPS. No cumple
Se presenta documento MI-RS-I-73-01-Flujo de información y canales de comunicaciones RIAS.pdf,  Cumple
Se observan normalizadas ruta P y M, CCV, AN, Maternoperinatal, salud mental. No se observa ruta de violencias, ni EPOC, no cumple no se incluyeron todos los datos definidos en la acción en los documentos de las RIAS presentados. Acción atrasada.</v>
      </c>
      <c r="F50" s="0" t="str">
        <f aca="false">IFERROR(__xludf.dummyfunction("""COMPUTED_VALUE"""),"Atrasado")</f>
        <v>Atrasado</v>
      </c>
      <c r="G50" s="0" t="str">
        <f aca="false">IFERROR(__xludf.dummyfunction("""COMPUTED_VALUE"""),"Sí")</f>
        <v>Sí</v>
      </c>
    </row>
    <row r="51" customFormat="false" ht="14.25" hidden="false" customHeight="false" outlineLevel="0" collapsed="false">
      <c r="A51" s="18" t="str">
        <f aca="false">IFERROR(MID(D51,1,FIND("|",D51)-1)&amp;"-"&amp;C51,"")</f>
        <v>AICI202116-3-1-3</v>
      </c>
      <c r="B51" s="19" t="n">
        <f aca="false">IFERROR(__xludf.dummyfunction("""COMPUTED_VALUE"""),44938)</f>
        <v>44938</v>
      </c>
      <c r="C51" s="0" t="n">
        <f aca="false">IFERROR(__xludf.dummyfunction("""COMPUTED_VALUE"""),3)</f>
        <v>3</v>
      </c>
      <c r="D51" s="0" t="str">
        <f aca="false">IFERROR(__xludf.dummyfunction("""COMPUTED_VALUE"""),"AICI202116-3-1| Trabajar las acciones para mitigar los riesgos con Desarrollo Institucional y la Direccion de Gestion del Riesgo articulando el del Mapa de Riesgo … (01-03-/2022 - 30/jun/2022)")</f>
        <v>AICI202116-3-1| Trabajar las acciones para mitigar los riesgos con Desarrollo Institucional y la Direccion de Gestion del Riesgo articulando el del Mapa de Riesgo … (01-03-/2022 - 30/jun/2022)</v>
      </c>
      <c r="E51" s="0" t="str">
        <f aca="false">IFERROR(__xludf.dummyfunction("""COMPUTED_VALUE"""),"Se observan soportes de  envío de información del mapa de riesgos  actual y el seguimiento  de los trimestres de 2022  sin embargo no se evidencian soportes de las acciones en conjunto con la oficina de  desarrollo institucional para  actualizar los riesg"&amp;"os y controles del mapa de riesgos, toda vez que aunque se envío un oficio al gerencia  para que la oficina de desarrollo institucional  para dar solución al hallazgo, cabe aclarar que es responsabilidad del proceso, actualizar su mapa de riesgos teniendo"&amp;" la asesoría de la oficina de desarrollo institucional a nivel de metodología, políticas y aplicabilidad.  por esta razón si, se debe  realizar la tarea para actualizar los riesgos para la vigencia 2023 y así mitigar las causas del hallazgo.")</f>
        <v>Se observan soportes de  envío de información del mapa de riesgos  actual y el seguimiento  de los trimestres de 2022  sin embargo no se evidencian soportes de las acciones en conjunto con la oficina de  desarrollo institucional para  actualizar los riesgos y controles del mapa de riesgos, toda vez que aunque se envío un oficio al gerencia  para que la oficina de desarrollo institucional  para dar solución al hallazgo, cabe aclarar que es responsabilidad del proceso, actualizar su mapa de riesgos teniendo la asesoría de la oficina de desarrollo institucional a nivel de metodología, políticas y aplicabilidad.  por esta razón si, se debe  realizar la tarea para actualizar los riesgos para la vigencia 2023 y así mitigar las causas del hallazgo.</v>
      </c>
      <c r="F51" s="0" t="str">
        <f aca="false">IFERROR(__xludf.dummyfunction("""COMPUTED_VALUE"""),"Atrasado")</f>
        <v>Atrasado</v>
      </c>
    </row>
    <row r="52" customFormat="false" ht="14.25" hidden="false" customHeight="false" outlineLevel="0" collapsed="false">
      <c r="A52" s="18" t="str">
        <f aca="false">IFERROR(MID(D52,1,FIND("|",D52)-1)&amp;"-"&amp;C52,"")</f>
        <v>AICI202116-4-1-3</v>
      </c>
      <c r="B52" s="19" t="n">
        <f aca="false">IFERROR(__xludf.dummyfunction("""COMPUTED_VALUE"""),44938)</f>
        <v>44938</v>
      </c>
      <c r="C52" s="0" t="n">
        <f aca="false">IFERROR(__xludf.dummyfunction("""COMPUTED_VALUE"""),3)</f>
        <v>3</v>
      </c>
      <c r="D52" s="0" t="str">
        <f aca="false">IFERROR(__xludf.dummyfunction("""COMPUTED_VALUE"""),"AICI202116-4-1| Actualizar la caracterizacion de la Direccion de Gestion del Riesgo y los procesos las actividades de las RIAS en los procesos procedimientos … (01/mar/2022 - 30/sept/2022)")</f>
        <v>AICI202116-4-1| Actualizar la caracterizacion de la Direccion de Gestion del Riesgo y los procesos las actividades de las RIAS en los procesos procedimientos … (01/mar/2022 - 30/sept/2022)</v>
      </c>
      <c r="E52" s="0" t="str">
        <f aca="false">IFERROR(__xludf.dummyfunction("""COMPUTED_VALUE"""),"Se allega caracterización del proceso y se verifica el Almera, pero no se observa el procedimiento de gestión de riesgo individual o el subproceso derivado del proceso de gestión del riesgo que describa la gestión de la RIAS. Acción Atrasada.")</f>
        <v>Se allega caracterización del proceso y se verifica el Almera, pero no se observa el procedimiento de gestión de riesgo individual o el subproceso derivado del proceso de gestión del riesgo que describa la gestión de la RIAS. Acción Atrasada.</v>
      </c>
      <c r="F52" s="0" t="str">
        <f aca="false">IFERROR(__xludf.dummyfunction("""COMPUTED_VALUE"""),"Atrasado")</f>
        <v>Atrasado</v>
      </c>
      <c r="G52" s="0" t="str">
        <f aca="false">IFERROR(__xludf.dummyfunction("""COMPUTED_VALUE"""),"Sí")</f>
        <v>Sí</v>
      </c>
    </row>
    <row r="53" customFormat="false" ht="14.25" hidden="false" customHeight="false" outlineLevel="0" collapsed="false">
      <c r="A53" s="18" t="str">
        <f aca="false">IFERROR(MID(D53,1,FIND("|",D53)-1)&amp;"-"&amp;C53,"")</f>
        <v>AICI202116-5-1-3</v>
      </c>
      <c r="B53" s="19" t="n">
        <f aca="false">IFERROR(__xludf.dummyfunction("""COMPUTED_VALUE"""),44938)</f>
        <v>44938</v>
      </c>
      <c r="C53" s="0" t="n">
        <f aca="false">IFERROR(__xludf.dummyfunction("""COMPUTED_VALUE"""),3)</f>
        <v>3</v>
      </c>
      <c r="D53" s="0" t="str">
        <f aca="false">IFERROR(__xludf.dummyfunction("""COMPUTED_VALUE"""),"AICI202116-5-1| Actualizar los Instructivos correspondientes a la ejecución de actividades de Todas RIAS según normatividad vigente (10/feb/2022 - 31/may/2022)")</f>
        <v>AICI202116-5-1| Actualizar los Instructivos correspondientes a la ejecución de actividades de Todas RIAS según normatividad vigente (10/feb/2022 - 31/may/2022)</v>
      </c>
      <c r="E53" s="0" t="str">
        <f aca="false">IFERROR(__xludf.dummyfunction("""COMPUTED_VALUE"""),"Se evidencia publicado en almera documento con marco normativo de rutas de P y M, SPA, Maternoperinatal, RAN, Problemas mentales, Infecciones, Cancer.  No se evidencia documento ruta violencias ni EPOC.  Acción atrasada.")</f>
        <v>Se evidencia publicado en almera documento con marco normativo de rutas de P y M, SPA, Maternoperinatal, RAN, Problemas mentales, Infecciones, Cancer.  No se evidencia documento ruta violencias ni EPOC.  Acción atrasada.</v>
      </c>
      <c r="F53" s="0" t="str">
        <f aca="false">IFERROR(__xludf.dummyfunction("""COMPUTED_VALUE"""),"Atrasado")</f>
        <v>Atrasado</v>
      </c>
      <c r="G53" s="0" t="str">
        <f aca="false">IFERROR(__xludf.dummyfunction("""COMPUTED_VALUE"""),"Sí")</f>
        <v>Sí</v>
      </c>
    </row>
    <row r="54" customFormat="false" ht="14.25" hidden="false" customHeight="false" outlineLevel="0" collapsed="false">
      <c r="A54" s="18" t="str">
        <f aca="false">IFERROR(MID(D54,1,FIND("|",D54)-1)&amp;"-"&amp;C54,"")</f>
        <v>AICI202116-6-1-3</v>
      </c>
      <c r="B54" s="19" t="n">
        <f aca="false">IFERROR(__xludf.dummyfunction("""COMPUTED_VALUE"""),44938)</f>
        <v>44938</v>
      </c>
      <c r="C54" s="0" t="n">
        <f aca="false">IFERROR(__xludf.dummyfunction("""COMPUTED_VALUE"""),3)</f>
        <v>3</v>
      </c>
      <c r="D54" s="0" t="str">
        <f aca="false">IFERROR(__xludf.dummyfunction("""COMPUTED_VALUE"""),"AICI202116-6-1| Actualizar los documentos de RIAS incluyendo manejo de bases de datos, entrega actualizada de estas a las unidades de atención (01/mar/2022 - 30/jun/2022)")</f>
        <v>AICI202116-6-1| Actualizar los documentos de RIAS incluyendo manejo de bases de datos, entrega actualizada de estas a las unidades de atención (01/mar/2022 - 30/jun/2022)</v>
      </c>
      <c r="E54" s="0" t="str">
        <f aca="false">IFERROR(__xludf.dummyfunction("""COMPUTED_VALUE"""),"Se evidencia publicado en almera INSTRUCTIVO DE SISTEMAS DE INFORMACION RUTAS INTEGRALES DE ATENCION EN SALUD cod MI-RS-I-71-01 el cual describe el manejo de la información y la gestión de las bases de datos.  (no se está describiendo todo el proceso prev"&amp;"io de recepción de base de datos entregada por capital salud, su procesamiento para georreferenciación, depuración entrega periódica a las unidades), por lo tanto la acción está atrasada")</f>
        <v>Se evidencia publicado en almera INSTRUCTIVO DE SISTEMAS DE INFORMACION RUTAS INTEGRALES DE ATENCION EN SALUD cod MI-RS-I-71-01 el cual describe el manejo de la información y la gestión de las bases de datos.  (no se está describiendo todo el proceso previo de recepción de base de datos entregada por capital salud, su procesamiento para georreferenciación, depuración entrega periódica a las unidades), por lo tanto la acción está atrasada</v>
      </c>
      <c r="F54" s="0" t="str">
        <f aca="false">IFERROR(__xludf.dummyfunction("""COMPUTED_VALUE"""),"Atrasado")</f>
        <v>Atrasado</v>
      </c>
      <c r="G54" s="0" t="str">
        <f aca="false">IFERROR(__xludf.dummyfunction("""COMPUTED_VALUE"""),"Sí")</f>
        <v>Sí</v>
      </c>
    </row>
    <row r="55" customFormat="false" ht="14.25" hidden="false" customHeight="false" outlineLevel="0" collapsed="false">
      <c r="A55" s="18" t="str">
        <f aca="false">IFERROR(MID(D55,1,FIND("|",D55)-1)&amp;"-"&amp;C55,"")</f>
        <v>AICI202116-6-2-3</v>
      </c>
      <c r="B55" s="19" t="n">
        <f aca="false">IFERROR(__xludf.dummyfunction("""COMPUTED_VALUE"""),44938)</f>
        <v>44938</v>
      </c>
      <c r="C55" s="0" t="n">
        <f aca="false">IFERROR(__xludf.dummyfunction("""COMPUTED_VALUE"""),3)</f>
        <v>3</v>
      </c>
      <c r="D55" s="0" t="str">
        <f aca="false">IFERROR(__xludf.dummyfunction("""COMPUTED_VALUE"""),"AICI202116-6-2| Socializar los documentos de RIAS, mencionados en la acción anterior al 95% de cada uno de los referentes de las unidades y de los técnicos y … (01/mar/2022 - 30/jun/2022)")</f>
        <v>AICI202116-6-2| Socializar los documentos de RIAS, mencionados en la acción anterior al 95% de cada uno de los referentes de las unidades y de los técnicos y … (01/mar/2022 - 30/jun/2022)</v>
      </c>
      <c r="E55" s="0" t="str">
        <f aca="false">IFERROR(__xludf.dummyfunction("""COMPUTED_VALUE"""),"Dado que el documento  publicado en almera INSTRUCTIVO DE SISTEMAS DE INFORMACION RUTAS INTEGRALES DE ATENCION EN SALUD cod MI-RS-I-71-01 no se encuentra completo en sus contenido  la socialización no es válida (se podría validar la socialización realizad"&amp;"a al personal asistencial que operativiza las RIAS, pero no lo correspondiente al personal de Gestión del riesgo, ya que ellos son los que realizar el proceso de georrefrenciación y depuración de las bases de datos) de todas maneras la acción queda atrasa"&amp;"da hasta que no se ajuste el documento y se socialice al personal faltante.")</f>
        <v>Dado que el documento  publicado en almera INSTRUCTIVO DE SISTEMAS DE INFORMACION RUTAS INTEGRALES DE ATENCION EN SALUD cod MI-RS-I-71-01 no se encuentra completo en sus contenido  la socialización no es válida (se podría validar la socialización realizada al personal asistencial que operativiza las RIAS, pero no lo correspondiente al personal de Gestión del riesgo, ya que ellos son los que realizar el proceso de georrefrenciación y depuración de las bases de datos) de todas maneras la acción queda atrasada hasta que no se ajuste el documento y se socialice al personal faltante.</v>
      </c>
      <c r="F55" s="0" t="str">
        <f aca="false">IFERROR(__xludf.dummyfunction("""COMPUTED_VALUE"""),"Atrasado")</f>
        <v>Atrasado</v>
      </c>
      <c r="G55" s="0" t="str">
        <f aca="false">IFERROR(__xludf.dummyfunction("""COMPUTED_VALUE"""),"Sí")</f>
        <v>Sí</v>
      </c>
    </row>
    <row r="56" customFormat="false" ht="14.25" hidden="false" customHeight="false" outlineLevel="0" collapsed="false">
      <c r="A56" s="18" t="str">
        <f aca="false">IFERROR(MID(D56,1,FIND("|",D56)-1)&amp;"-"&amp;C56,"")</f>
        <v>AICI202116-7-1-3</v>
      </c>
      <c r="B56" s="19" t="n">
        <f aca="false">IFERROR(__xludf.dummyfunction("""COMPUTED_VALUE"""),44938)</f>
        <v>44938</v>
      </c>
      <c r="C56" s="0" t="n">
        <f aca="false">IFERROR(__xludf.dummyfunction("""COMPUTED_VALUE"""),3)</f>
        <v>3</v>
      </c>
      <c r="D56" s="0" t="str">
        <f aca="false">IFERROR(__xludf.dummyfunction("""COMPUTED_VALUE"""),"AICI202116-7-1| Definir el talento humano en la USS requerido para el seguimiento de la poblacion de todas las RIAS (11/feb/2022 - 31/dic/2022)")</f>
        <v>AICI202116-7-1| Definir el talento humano en la USS requerido para el seguimiento de la poblacion de todas las RIAS (11/feb/2022 - 31/dic/2022)</v>
      </c>
      <c r="E56" s="0" t="str">
        <f aca="false">IFERROR(__xludf.dummyfunction("""COMPUTED_VALUE"""),"Se evidencia base de datos del personal asistencial de todas las unidades que atienden usuarios de las RIAS, pero no se especififica quién va a realizar el manejar las bases de datos de las RIAS y realizar los seguimientos, ni el tiempo asognado para esta"&amp;" labor. Se presenta acta de reunión de articulación con directivos para definir el talento humano que operativiza las rutas, se adjunta archivo en excel con el personal de ambulatorios de las diferentes sedes, no se observa definición del responsable de g"&amp;"estión de bases de datos de población relativa a las RIAS, demanda inducida derivada de esta, asignación de citas, seguimiento de usuarios inscritos entre otras actividades propias de las Rutas tal como se describe en el hallazgo (La sola mención del nomb"&amp;"re de la auxiliar de cada centro no garantiza que se tenga establecido el procedimiento y el el tiempo para esta labor, porque esta falencia fué la que se identificó durante la auditoría). No se evidencia definición  del personal que va a realizar la gest"&amp;"ión y seguimiento de las bases de datos diferentes a las RIA de P y M.  Acción atrasada")</f>
        <v>Se evidencia base de datos del personal asistencial de todas las unidades que atienden usuarios de las RIAS, pero no se especififica quién va a realizar el manejar las bases de datos de las RIAS y realizar los seguimientos, ni el tiempo asognado para esta labor. Se presenta acta de reunión de articulación con directivos para definir el talento humano que operativiza las rutas, se adjunta archivo en excel con el personal de ambulatorios de las diferentes sedes, no se observa definición del responsable de gestión de bases de datos de población relativa a las RIAS, demanda inducida derivada de esta, asignación de citas, seguimiento de usuarios inscritos entre otras actividades propias de las Rutas tal como se describe en el hallazgo (La sola mención del nombre de la auxiliar de cada centro no garantiza que se tenga establecido el procedimiento y el el tiempo para esta labor, porque esta falencia fué la que se identificó durante la auditoría). No se evidencia definición  del personal que va a realizar la gestión y seguimiento de las bases de datos diferentes a las RIA de P y M.  Acción atrasada</v>
      </c>
      <c r="F56" s="0" t="str">
        <f aca="false">IFERROR(__xludf.dummyfunction("""COMPUTED_VALUE"""),"Atrasado")</f>
        <v>Atrasado</v>
      </c>
      <c r="G56" s="0" t="str">
        <f aca="false">IFERROR(__xludf.dummyfunction("""COMPUTED_VALUE"""),"Sí")</f>
        <v>Sí</v>
      </c>
    </row>
    <row r="57" customFormat="false" ht="14.25" hidden="false" customHeight="false" outlineLevel="0" collapsed="false">
      <c r="A57" s="18" t="str">
        <f aca="false">IFERROR(MID(D57,1,FIND("|",D57)-1)&amp;"-"&amp;C57,"")</f>
        <v>AICI202116-7-2-3</v>
      </c>
      <c r="B57" s="19" t="n">
        <f aca="false">IFERROR(__xludf.dummyfunction("""COMPUTED_VALUE"""),44938)</f>
        <v>44938</v>
      </c>
      <c r="C57" s="0" t="n">
        <f aca="false">IFERROR(__xludf.dummyfunction("""COMPUTED_VALUE"""),3)</f>
        <v>3</v>
      </c>
      <c r="D57" s="0" t="str">
        <f aca="false">IFERROR(__xludf.dummyfunction("""COMPUTED_VALUE"""),"AICI202116-7-2| Hacer Seguimiento de la asignación/contratación del personal requerido para el funcionamiento de las RIAS desde cada una de las Direcciones que … (11/feb/2022 - 31/dic/2022)")</f>
        <v>AICI202116-7-2| Hacer Seguimiento de la asignación/contratación del personal requerido para el funcionamiento de las RIAS desde cada una de las Direcciones que … (11/feb/2022 - 31/dic/2022)</v>
      </c>
      <c r="E57" s="0" t="str">
        <f aca="false">IFERROR(__xludf.dummyfunction("""COMPUTED_VALUE"""),"Se evidencian dos actas del 3-10-2022 y 2-11-2022 con los directivos de  Urgencias, complementarios, gestión del Riesgo y lider de Rutas integrales, no hay participación de la dirección de ambulatorios.  En las actas  se trata específicamente el tema de c"&amp;"ontratación de talento humano  requerido para realizar las actividades de las rutas pero no se observa ninguna gestión específica y un resultado favorable para el tema. por lo tanto la acción está atrasada")</f>
        <v>Se evidencian dos actas del 3-10-2022 y 2-11-2022 con los directivos de  Urgencias, complementarios, gestión del Riesgo y lider de Rutas integrales, no hay participación de la dirección de ambulatorios.  En las actas  se trata específicamente el tema de contratación de talento humano  requerido para realizar las actividades de las rutas pero no se observa ninguna gestión específica y un resultado favorable para el tema. por lo tanto la acción está atrasada</v>
      </c>
      <c r="F57" s="0" t="str">
        <f aca="false">IFERROR(__xludf.dummyfunction("""COMPUTED_VALUE"""),"Atrasado")</f>
        <v>Atrasado</v>
      </c>
    </row>
    <row r="58" customFormat="false" ht="14.25" hidden="false" customHeight="false" outlineLevel="0" collapsed="false">
      <c r="A58" s="18" t="str">
        <f aca="false">IFERROR(MID(D58,1,FIND("|",D58)-1)&amp;"-"&amp;C58,"")</f>
        <v>AICI202116-8-1-3</v>
      </c>
      <c r="B58" s="19" t="n">
        <f aca="false">IFERROR(__xludf.dummyfunction("""COMPUTED_VALUE"""),44938)</f>
        <v>44938</v>
      </c>
      <c r="C58" s="0" t="n">
        <f aca="false">IFERROR(__xludf.dummyfunction("""COMPUTED_VALUE"""),3)</f>
        <v>3</v>
      </c>
      <c r="D58" s="0" t="str">
        <f aca="false">IFERROR(__xludf.dummyfunction("""COMPUTED_VALUE"""),"AICI202116-8-1| Socializar al 80% con una meta de 400 colaboradores involucrados en la implementacion del proceso de captacion y demanda inducida de los usuarios … (01/mar/2022 - 30/sept/2022)")</f>
        <v>AICI202116-8-1| Socializar al 80% con una meta de 400 colaboradores involucrados en la implementacion del proceso de captacion y demanda inducida de los usuarios … (01/mar/2022 - 30/sept/2022)</v>
      </c>
      <c r="E58" s="0" t="str">
        <f aca="false">IFERROR(__xludf.dummyfunction("""COMPUTED_VALUE"""),"Se evidencian actas de socializaciones de capacitación y demanda inducida de usuarios a las RIAS: SPA, Maternoperinatal, Salud mental, Infecciones, Cáncer, CCV, las cuales suman 410 personas socializadas, sin embargo  captación o la demanda inducida RIAS "&amp;" de Alteraciones nutricionales, violencias y Enfermedades respiratorias, es necesario garantizar que en la meta de 400 personas socializadas se incluyen estas RIAS  y sus participantes. Por esta razón la acción continua de la acción atrasada.")</f>
        <v>Se evidencian actas de socializaciones de capacitación y demanda inducida de usuarios a las RIAS: SPA, Maternoperinatal, Salud mental, Infecciones, Cáncer, CCV, las cuales suman 410 personas socializadas, sin embargo  captación o la demanda inducida RIAS  de Alteraciones nutricionales, violencias y Enfermedades respiratorias, es necesario garantizar que en la meta de 400 personas socializadas se incluyen estas RIAS  y sus participantes. Por esta razón la acción continua de la acción atrasada.</v>
      </c>
      <c r="F58" s="0" t="str">
        <f aca="false">IFERROR(__xludf.dummyfunction("""COMPUTED_VALUE"""),"Atrasado")</f>
        <v>Atrasado</v>
      </c>
    </row>
    <row r="59" customFormat="false" ht="14.25" hidden="false" customHeight="false" outlineLevel="0" collapsed="false">
      <c r="A59" s="18" t="str">
        <f aca="false">IFERROR(MID(D59,1,FIND("|",D59)-1)&amp;"-"&amp;C59,"")</f>
        <v>AICI202116-9-1-3</v>
      </c>
      <c r="B59" s="19" t="n">
        <f aca="false">IFERROR(__xludf.dummyfunction("""COMPUTED_VALUE"""),44938)</f>
        <v>44938</v>
      </c>
      <c r="C59" s="0" t="n">
        <f aca="false">IFERROR(__xludf.dummyfunction("""COMPUTED_VALUE"""),3)</f>
        <v>3</v>
      </c>
      <c r="D59" s="0" t="str">
        <f aca="false">IFERROR(__xludf.dummyfunction("""COMPUTED_VALUE"""),"AICI202116-9-1| Elaborar documento de gestion de la informacion de RIAS que incluya la estandarización de la gestión de las bases de datos de RIAS, sus puntos… (01/mar/2022 - 30/sept/2022)")</f>
        <v>AICI202116-9-1| Elaborar documento de gestion de la informacion de RIAS que incluya la estandarización de la gestión de las bases de datos de RIAS, sus puntos… (01/mar/2022 - 30/sept/2022)</v>
      </c>
      <c r="E59" s="0" t="str">
        <f aca="false">IFERROR(__xludf.dummyfunction("""COMPUTED_VALUE"""),"Se evidencia publicado en almera INSTRUCTIVO DE SISTEMAS DE INFORMACION RUTAS INTEGRALES DE ATENCION EN SALUD cod MI-RS-I-71-01 el cual describe el manejo de la información y la gestión de las bases de datos.  (no se está describiendo todo el proceso prev"&amp;"io de recepción de base de datos entregada por capital salud, su procesamiento para georreferenciación, depuración entrega periódica a las unidades). por lo tanto está atrasado")</f>
        <v>Se evidencia publicado en almera INSTRUCTIVO DE SISTEMAS DE INFORMACION RUTAS INTEGRALES DE ATENCION EN SALUD cod MI-RS-I-71-01 el cual describe el manejo de la información y la gestión de las bases de datos.  (no se está describiendo todo el proceso previo de recepción de base de datos entregada por capital salud, su procesamiento para georreferenciación, depuración entrega periódica a las unidades). por lo tanto está atrasado</v>
      </c>
      <c r="F59" s="0" t="str">
        <f aca="false">IFERROR(__xludf.dummyfunction("""COMPUTED_VALUE"""),"Atrasado")</f>
        <v>Atrasado</v>
      </c>
      <c r="G59" s="0" t="str">
        <f aca="false">IFERROR(__xludf.dummyfunction("""COMPUTED_VALUE"""),"Sí")</f>
        <v>Sí</v>
      </c>
    </row>
    <row r="60" customFormat="false" ht="14.25" hidden="false" customHeight="false" outlineLevel="0" collapsed="false">
      <c r="A60" s="18" t="str">
        <f aca="false">IFERROR(MID(D60,1,FIND("|",D60)-1)&amp;"-"&amp;C60,"")</f>
        <v>AICI202116-9-2-3</v>
      </c>
      <c r="B60" s="19" t="n">
        <f aca="false">IFERROR(__xludf.dummyfunction("""COMPUTED_VALUE"""),44938)</f>
        <v>44938</v>
      </c>
      <c r="C60" s="0" t="n">
        <f aca="false">IFERROR(__xludf.dummyfunction("""COMPUTED_VALUE"""),3)</f>
        <v>3</v>
      </c>
      <c r="D60" s="0" t="str">
        <f aca="false">IFERROR(__xludf.dummyfunction("""COMPUTED_VALUE"""),"AICI202116-9-2| Socializar los documentos de RIAS, mencionados en la acción anterior al 95% de cada uno de los referentes de las unidades con una meta de 100 … (01/mar/2022 - 30/sept/2022)")</f>
        <v>AICI202116-9-2| Socializar los documentos de RIAS, mencionados en la acción anterior al 95% de cada uno de los referentes de las unidades con una meta de 100 … (01/mar/2022 - 30/sept/2022)</v>
      </c>
      <c r="E60" s="0" t="str">
        <f aca="false">IFERROR(__xludf.dummyfunction("""COMPUTED_VALUE"""),"Dado que el documento  publicado en almera INSTRUCTIVO DE SISTEMAS DE INFORMACION RUTAS INTEGRALES DE ATENCION EN SALUD cod MI-RS-I-71-01 no se encuentra completo la socialización no es válida (se podría validar la socialización realizada al personal asis"&amp;"tencial que operativiza las RIAS, pero no lo correspondiente al personal de Gestión del Riesgo, ya que ellos son los que realizar el proceso de georrefrenciación y depuración de las bases de datos) de todas maneras la acción queda atrasada hasta que no se"&amp;" ajuste el documento y se socialice al personal faltante.")</f>
        <v>Dado que el documento  publicado en almera INSTRUCTIVO DE SISTEMAS DE INFORMACION RUTAS INTEGRALES DE ATENCION EN SALUD cod MI-RS-I-71-01 no se encuentra completo la socialización no es válida (se podría validar la socialización realizada al personal asistencial que operativiza las RIAS, pero no lo correspondiente al personal de Gestión del Riesgo, ya que ellos son los que realizar el proceso de georrefrenciación y depuración de las bases de datos) de todas maneras la acción queda atrasada hasta que no se ajuste el documento y se socialice al personal faltante.</v>
      </c>
      <c r="F60" s="0" t="str">
        <f aca="false">IFERROR(__xludf.dummyfunction("""COMPUTED_VALUE"""),"Atrasado")</f>
        <v>Atrasado</v>
      </c>
      <c r="G60" s="0" t="str">
        <f aca="false">IFERROR(__xludf.dummyfunction("""COMPUTED_VALUE"""),"Sí")</f>
        <v>Sí</v>
      </c>
    </row>
    <row r="61" customFormat="false" ht="14.25" hidden="false" customHeight="false" outlineLevel="0" collapsed="false">
      <c r="A61" s="18" t="str">
        <f aca="false">IFERROR(MID(D61,1,FIND("|",D61)-1)&amp;"-"&amp;C61,"")</f>
        <v>AICI202116-10-1-3</v>
      </c>
      <c r="B61" s="19" t="n">
        <f aca="false">IFERROR(__xludf.dummyfunction("""COMPUTED_VALUE"""),44938)</f>
        <v>44938</v>
      </c>
      <c r="C61" s="0" t="n">
        <f aca="false">IFERROR(__xludf.dummyfunction("""COMPUTED_VALUE"""),3)</f>
        <v>3</v>
      </c>
      <c r="D61" s="0" t="str">
        <f aca="false">IFERROR(__xludf.dummyfunction("""COMPUTED_VALUE"""),"AICI202116-10-1| Socializar al 80% con una meta de 100 colaboradores que operativiza las Rutas,la Linea de mando y flujo de comunicación de las rutas integrales … (01/mar/2022 - 31/may/2022)")</f>
        <v>AICI202116-10-1| Socializar al 80% con una meta de 100 colaboradores que operativiza las Rutas,la Linea de mando y flujo de comunicación de las rutas integrales … (01/mar/2022 - 31/may/2022)</v>
      </c>
      <c r="E61" s="0" t="str">
        <f aca="false">IFERROR(__xludf.dummyfunction("""COMPUTED_VALUE"""),"Se evidencian  soportes de socialización  enviados en el anteriro seguimiento y adicionan  la socializacion de las rutas faltantes, ademas de la socializacion al mesa de directivos asi:  Socializacion :  con  un total de 112 personas con socializacion, ad"&amp;"icionalmente se anexan los soportes de la gestion realizada con calidad para la normalizacion del documentos socializado, las cuales se realcionan a continuacion:
27/09/2022: RIA Cancer socialización a  5 personas
29/08/2022: RIA PYMS socialización a 24 p"&amp;"ersonas
29/09/2022: USS Calle 80 socialización a 7 personas
28/09/2022: USS Simon Bolivar socialización a 11 personas
27/09/2022: RIAS AN socialización a 7 personas
30/09/2022: RIAS MP socialización a 14 personas
29/09/2022: RIAS SM socialización a 5 pers"&amp;"onas
29/09/2022: RIAS ERC socialización a 8 personas
29/09/2022: RIAS CCVM socialización a 12 personas
19/11/2022: Mesa Directivos socialización a 19 persona")</f>
        <v>Se evidencian  soportes de socialización  enviados en el anteriro seguimiento y adicionan  la socializacion de las rutas faltantes, ademas de la socializacion al mesa de directivos asi:  Socializacion :  con  un total de 112 personas con socializacion, adicionalmente se anexan los soportes de la gestion realizada con calidad para la normalizacion del documentos socializado, las cuales se realcionan a continuacion:
27/09/2022: RIA Cancer socialización a  5 personas
29/08/2022: RIA PYMS socialización a 24 personas
29/09/2022: USS Calle 80 socialización a 7 personas
28/09/2022: USS Simon Bolivar socialización a 11 personas
27/09/2022: RIAS AN socialización a 7 personas
30/09/2022: RIAS MP socialización a 14 personas
29/09/2022: RIAS SM socialización a 5 personas
29/09/2022: RIAS ERC socialización a 8 personas
29/09/2022: RIAS CCVM socialización a 12 personas
19/11/2022: Mesa Directivos socialización a 19 persona</v>
      </c>
      <c r="F61" s="0" t="str">
        <f aca="false">IFERROR(__xludf.dummyfunction("""COMPUTED_VALUE"""),"Completo")</f>
        <v>Completo</v>
      </c>
      <c r="G61" s="0" t="str">
        <f aca="false">IFERROR(__xludf.dummyfunction("""COMPUTED_VALUE"""),"Sí")</f>
        <v>Sí</v>
      </c>
    </row>
    <row r="62" customFormat="false" ht="14.25" hidden="false" customHeight="false" outlineLevel="0" collapsed="false">
      <c r="A62" s="18" t="str">
        <f aca="false">IFERROR(MID(D62,1,FIND("|",D62)-1)&amp;"-"&amp;C62,"")</f>
        <v>AICI202116-11-1-3</v>
      </c>
      <c r="B62" s="19" t="n">
        <f aca="false">IFERROR(__xludf.dummyfunction("""COMPUTED_VALUE"""),44938)</f>
        <v>44938</v>
      </c>
      <c r="C62" s="0" t="n">
        <f aca="false">IFERROR(__xludf.dummyfunction("""COMPUTED_VALUE"""),3)</f>
        <v>3</v>
      </c>
      <c r="D62" s="0" t="str">
        <f aca="false">IFERROR(__xludf.dummyfunction("""COMPUTED_VALUE"""),"AICI202116-11-1| Definir el procedimiento de la RPYMS la capacidad instalada para la operación (estructura tactica y operativa) (01/mar/2022 - 30/nov/2022)")</f>
        <v>AICI202116-11-1| Definir el procedimiento de la RPYMS la capacidad instalada para la operación (estructura tactica y operativa) (01/mar/2022 - 30/nov/2022)</v>
      </c>
      <c r="E62" s="0" t="str">
        <f aca="false">IFERROR(__xludf.dummyfunction("""COMPUTED_VALUE"""),"Se presenta documento MI-RS-I-72-01-Capacidad instalada rutas integrales de atención en salud.pdf el cual se encuentra publicado en almera.  El contenido de este documento no define el talento humano necesario para realizar las actividades de la RPMS rela"&amp;"tivas al manejo de bases de datos, las capacitaciones, la asistencia técnica, la demanda inducida, entre otras, desde la Dirección de Gestión de Riesgo en Salud. se presenta powerpoint con el organigrama de la Dirección de Gestión del riesgo, donde solo s"&amp;"e identifica el líder de la RPMS pero no se define el resto del personal que realiza las demás actividades, como por ejemplo manejo de bases de datos, profesionales de apoyo técnico para la RPMS, etc. Se presentan archivos de excel con el personal asisten"&amp;"cial que opera la RPMS. acción atrasada.")</f>
        <v>Se presenta documento MI-RS-I-72-01-Capacidad instalada rutas integrales de atención en salud.pdf el cual se encuentra publicado en almera.  El contenido de este documento no define el talento humano necesario para realizar las actividades de la RPMS relativas al manejo de bases de datos, las capacitaciones, la asistencia técnica, la demanda inducida, entre otras, desde la Dirección de Gestión de Riesgo en Salud. se presenta powerpoint con el organigrama de la Dirección de Gestión del riesgo, donde solo se identifica el líder de la RPMS pero no se define el resto del personal que realiza las demás actividades, como por ejemplo manejo de bases de datos, profesionales de apoyo técnico para la RPMS, etc. Se presentan archivos de excel con el personal asistencial que opera la RPMS. acción atrasada.</v>
      </c>
      <c r="F62" s="0" t="str">
        <f aca="false">IFERROR(__xludf.dummyfunction("""COMPUTED_VALUE"""),"Atrasado")</f>
        <v>Atrasado</v>
      </c>
      <c r="G62" s="0" t="str">
        <f aca="false">IFERROR(__xludf.dummyfunction("""COMPUTED_VALUE"""),"Sí")</f>
        <v>Sí</v>
      </c>
    </row>
    <row r="63" customFormat="false" ht="14.25" hidden="false" customHeight="false" outlineLevel="0" collapsed="false">
      <c r="A63" s="18" t="str">
        <f aca="false">IFERROR(MID(D63,1,FIND("|",D63)-1)&amp;"-"&amp;C63,"")</f>
        <v>AICI202116-12-1-3</v>
      </c>
      <c r="B63" s="19" t="n">
        <f aca="false">IFERROR(__xludf.dummyfunction("""COMPUTED_VALUE"""),44938)</f>
        <v>44938</v>
      </c>
      <c r="C63" s="0" t="n">
        <f aca="false">IFERROR(__xludf.dummyfunction("""COMPUTED_VALUE"""),3)</f>
        <v>3</v>
      </c>
      <c r="D63" s="0" t="str">
        <f aca="false">IFERROR(__xludf.dummyfunction("""COMPUTED_VALUE"""),"AICI202116-12-1| Actualizar los documentos de la Ruta PYM, adicionando item de: Definir la capacidad instalada y talento humano de manera coordinada entre las … (01/mar/2022 - 30/nov/2022)")</f>
        <v>AICI202116-12-1| Actualizar los documentos de la Ruta PYM, adicionando item de: Definir la capacidad instalada y talento humano de manera coordinada entre las … (01/mar/2022 - 30/nov/2022)</v>
      </c>
      <c r="E63" s="0" t="str">
        <f aca="false">IFERROR(__xludf.dummyfunction("""COMPUTED_VALUE"""),"Se presenta el documento 	MI-RS-I-68-02-Implementación ruta promoción y mantenimiento.pdf publicado en Almera, este documento menciona los lineamientos para la implementación de la RPMS, criterios de atención. El documento no define las actividades admini"&amp;"strativas que se deben realizar una vez se entrega la base de datos a cada unidad de atención, la periodicidad de entrega criterios técnicos para la gestión y seguimiento a los usuarios de la RPMS, reporte de información, etc. El talento humano está defin"&amp;"ida de manera genérica por Gerente, subgerente, Dirección de Gestión del Riesgo, Coordinación de PYD, líder de Promoción y Mantenimiento, Dirección de servicios ambulatorios, Coordinación PIC, no vincula o hace referencia al  los perfiles de personal asis"&amp;"tencial requerido que se han presentado como soportes de otras acciones, por lo tanto la acción aún no se ha cumplido a cabalidad y se encuentra Atrasada.")</f>
        <v>Se presenta el documento 	MI-RS-I-68-02-Implementación ruta promoción y mantenimiento.pdf publicado en Almera, este documento menciona los lineamientos para la implementación de la RPMS, criterios de atención. El documento no define las actividades administrativas que se deben realizar una vez se entrega la base de datos a cada unidad de atención, la periodicidad de entrega criterios técnicos para la gestión y seguimiento a los usuarios de la RPMS, reporte de información, etc. El talento humano está definida de manera genérica por Gerente, subgerente, Dirección de Gestión del Riesgo, Coordinación de PYD, líder de Promoción y Mantenimiento, Dirección de servicios ambulatorios, Coordinación PIC, no vincula o hace referencia al  los perfiles de personal asistencial requerido que se han presentado como soportes de otras acciones, por lo tanto la acción aún no se ha cumplido a cabalidad y se encuentra Atrasada.</v>
      </c>
      <c r="F63" s="0" t="str">
        <f aca="false">IFERROR(__xludf.dummyfunction("""COMPUTED_VALUE"""),"Atrasado")</f>
        <v>Atrasado</v>
      </c>
      <c r="G63" s="0" t="str">
        <f aca="false">IFERROR(__xludf.dummyfunction("""COMPUTED_VALUE"""),"Sí")</f>
        <v>Sí</v>
      </c>
    </row>
    <row r="64" customFormat="false" ht="14.25" hidden="false" customHeight="false" outlineLevel="0" collapsed="false">
      <c r="A64" s="18" t="str">
        <f aca="false">IFERROR(MID(D64,1,FIND("|",D64)-1)&amp;"-"&amp;C64,"")</f>
        <v>AICI202116-13-1-3</v>
      </c>
      <c r="B64" s="19" t="n">
        <f aca="false">IFERROR(__xludf.dummyfunction("""COMPUTED_VALUE"""),44938)</f>
        <v>44938</v>
      </c>
      <c r="C64" s="0" t="n">
        <f aca="false">IFERROR(__xludf.dummyfunction("""COMPUTED_VALUE"""),3)</f>
        <v>3</v>
      </c>
      <c r="D64" s="0" t="str">
        <f aca="false">IFERROR(__xludf.dummyfunction("""COMPUTED_VALUE"""),"AICI202116-13-1| Desarrolllar mesas de analisis periodicas con 6 mesas para desplegar a las Unidades de atencion en salud, el mecanismo definido para el seguimiento … (11/mar/2022 - 30/dic/2022)")</f>
        <v>AICI202116-13-1| Desarrolllar mesas de analisis periodicas con 6 mesas para desplegar a las Unidades de atencion en salud, el mecanismo definido para el seguimiento … (11/mar/2022 - 30/dic/2022)</v>
      </c>
      <c r="E64" s="0" t="str">
        <f aca="false">IFERROR(__xludf.dummyfunction("""COMPUTED_VALUE"""),"Se evidencian  soportes de las actas de las mesas de trabajo   en las siguientes fechas 25 de marzo, 28 de abril, 11 de mayo, 28 de junio, 14 de julio y 9 de noviembre de 2022  en la cuales se presenta la proyección de actividades y la cobertura de activi"&amp;"dades del RPMS")</f>
        <v>Se evidencian  soportes de las actas de las mesas de trabajo   en las siguientes fechas 25 de marzo, 28 de abril, 11 de mayo, 28 de junio, 14 de julio y 9 de noviembre de 2022  en la cuales se presenta la proyección de actividades y la cobertura de actividades del RPMS</v>
      </c>
      <c r="F64" s="0" t="str">
        <f aca="false">IFERROR(__xludf.dummyfunction("""COMPUTED_VALUE"""),"Completo")</f>
        <v>Completo</v>
      </c>
      <c r="G64" s="0" t="str">
        <f aca="false">IFERROR(__xludf.dummyfunction("""COMPUTED_VALUE"""),"Sí")</f>
        <v>Sí</v>
      </c>
    </row>
    <row r="65" customFormat="false" ht="14.25" hidden="false" customHeight="false" outlineLevel="0" collapsed="false">
      <c r="A65" s="18" t="str">
        <f aca="false">IFERROR(MID(D65,1,FIND("|",D65)-1)&amp;"-"&amp;C65,"")</f>
        <v>AICI202116-14-1-3</v>
      </c>
      <c r="B65" s="19" t="n">
        <f aca="false">IFERROR(__xludf.dummyfunction("""COMPUTED_VALUE"""),44938)</f>
        <v>44938</v>
      </c>
      <c r="C65" s="0" t="n">
        <f aca="false">IFERROR(__xludf.dummyfunction("""COMPUTED_VALUE"""),3)</f>
        <v>3</v>
      </c>
      <c r="D65" s="0" t="str">
        <f aca="false">IFERROR(__xludf.dummyfunction("""COMPUTED_VALUE"""),"AICI202116-14-1| Actualizar documentos de RIA PYMS incluyendo manejo de bases de datos, entrega actualizada de estas a las unidades de atención, Mecanismos de … (01/mar/2022 - 30/jun/2022)")</f>
        <v>AICI202116-14-1| Actualizar documentos de RIA PYMS incluyendo manejo de bases de datos, entrega actualizada de estas a las unidades de atención, Mecanismos de … (01/mar/2022 - 30/jun/2022)</v>
      </c>
      <c r="E65" s="0" t="str">
        <f aca="false">IFERROR(__xludf.dummyfunction("""COMPUTED_VALUE"""),"Se presenta el documento MI-RS-I-68-02-Implementación ruta promoción y mantenimiento.pdf publicado en Almera, este documento menciona los lineamientos para la implementación de la RPMS, criterios de atención. El documento no define las actividades adminis"&amp;"trativas que se deben realizar una vez se entrega la base de datos a cada unidad de atención, la periodicidad de entrega criterios técnicos para la gestión y seguimiento a los usuarios de la RPMS, reporte de información, etc. No se describen los mecanismo"&amp;"s de agendamiento de citas de P y D, por lo tanto la acción aún no se ha cumplido a cabalidad y se encuentra Atrasada.")</f>
        <v>Se presenta el documento MI-RS-I-68-02-Implementación ruta promoción y mantenimiento.pdf publicado en Almera, este documento menciona los lineamientos para la implementación de la RPMS, criterios de atención. El documento no define las actividades administrativas que se deben realizar una vez se entrega la base de datos a cada unidad de atención, la periodicidad de entrega criterios técnicos para la gestión y seguimiento a los usuarios de la RPMS, reporte de información, etc. No se describen los mecanismos de agendamiento de citas de P y D, por lo tanto la acción aún no se ha cumplido a cabalidad y se encuentra Atrasada.</v>
      </c>
      <c r="F65" s="0" t="str">
        <f aca="false">IFERROR(__xludf.dummyfunction("""COMPUTED_VALUE"""),"Atrasado")</f>
        <v>Atrasado</v>
      </c>
      <c r="G65" s="0" t="str">
        <f aca="false">IFERROR(__xludf.dummyfunction("""COMPUTED_VALUE"""),"Sí")</f>
        <v>Sí</v>
      </c>
    </row>
    <row r="66" customFormat="false" ht="14.25" hidden="false" customHeight="false" outlineLevel="0" collapsed="false">
      <c r="A66" s="18" t="str">
        <f aca="false">IFERROR(MID(D66,1,FIND("|",D66)-1)&amp;"-"&amp;C66,"")</f>
        <v>AICI202116-14-2-3</v>
      </c>
      <c r="B66" s="19" t="n">
        <f aca="false">IFERROR(__xludf.dummyfunction("""COMPUTED_VALUE"""),44938)</f>
        <v>44938</v>
      </c>
      <c r="C66" s="0" t="n">
        <f aca="false">IFERROR(__xludf.dummyfunction("""COMPUTED_VALUE"""),3)</f>
        <v>3</v>
      </c>
      <c r="D66" s="0" t="str">
        <f aca="false">IFERROR(__xludf.dummyfunction("""COMPUTED_VALUE"""),"AICI202116-14-2| Socializar al 95% del personal de las unidades que operativizan el proceso la adscripcion a la unidad y a las RIAS de la poblacion asignada: 10 … (01/mar/2022 - 30/jun/2022)")</f>
        <v>AICI202116-14-2| Socializar al 95% del personal de las unidades que operativizan el proceso la adscripcion a la unidad y a las RIAS de la poblacion asignada: 10 … (01/mar/2022 - 30/jun/2022)</v>
      </c>
      <c r="E66" s="0" t="str">
        <f aca="false">IFERROR(__xludf.dummyfunction("""COMPUTED_VALUE"""),"Se presentan soportes de 19-07-2022 Socialización Unidad Boyacá Real  y Correo de Socialización a Lideres Operativos. El correo de socialización a los lideres, dado que el documento a socializar se deriva de la  acción anterior  y este no tiene los conten"&amp;"idos establecidos, no cumple con lo establecido  y la acción se encuentra atrasada. ")</f>
        <v>Se presentan soportes de 19-07-2022 Socialización Unidad Boyacá Real  y Correo de Socialización a Lideres Operativos. El correo de socialización a los lideres, dado que el documento a socializar se deriva de la  acción anterior  y este no tiene los contenidos establecidos, no cumple con lo establecido  y la acción se encuentra atrasada. </v>
      </c>
      <c r="F66" s="0" t="str">
        <f aca="false">IFERROR(__xludf.dummyfunction("""COMPUTED_VALUE"""),"Atrasado")</f>
        <v>Atrasado</v>
      </c>
    </row>
    <row r="67" customFormat="false" ht="14.25" hidden="false" customHeight="false" outlineLevel="0" collapsed="false">
      <c r="A67" s="18" t="str">
        <f aca="false">IFERROR(MID(D67,1,FIND("|",D67)-1)&amp;"-"&amp;C67,"")</f>
        <v>AICI202116-15-1-3</v>
      </c>
      <c r="B67" s="19" t="n">
        <f aca="false">IFERROR(__xludf.dummyfunction("""COMPUTED_VALUE"""),44938)</f>
        <v>44938</v>
      </c>
      <c r="C67" s="0" t="n">
        <f aca="false">IFERROR(__xludf.dummyfunction("""COMPUTED_VALUE"""),3)</f>
        <v>3</v>
      </c>
      <c r="D67" s="0" t="str">
        <f aca="false">IFERROR(__xludf.dummyfunction("""COMPUTED_VALUE"""),"AICI202116-15-1| Capacitar al 100% del personal de agendamiento,50 colaboradores entre facturacion y auxiliares de enfermeria de la Ruta de PYM sobre la … (01/mar/2022 - 30/dic/2022)")</f>
        <v>AICI202116-15-1| Capacitar al 100% del personal de agendamiento,50 colaboradores entre facturacion y auxiliares de enfermeria de la Ruta de PYM sobre la … (01/mar/2022 - 30/dic/2022)</v>
      </c>
      <c r="E67" s="0" t="str">
        <f aca="false">IFERROR(__xludf.dummyfunction("""COMPUTED_VALUE"""),"Se realiza verificación de el acta de socialización  20-12-2022: con participación de 53 personas, frente a las frecuencias de usuarios y los contratos vigentes de la subred y resolución 3280.")</f>
        <v>Se realiza verificación de el acta de socialización  20-12-2022: con participación de 53 personas, frente a las frecuencias de usuarios y los contratos vigentes de la subred y resolución 3280.</v>
      </c>
      <c r="F67" s="0" t="str">
        <f aca="false">IFERROR(__xludf.dummyfunction("""COMPUTED_VALUE"""),"Completo")</f>
        <v>Completo</v>
      </c>
      <c r="G67" s="0" t="str">
        <f aca="false">IFERROR(__xludf.dummyfunction("""COMPUTED_VALUE"""),"Sí")</f>
        <v>Sí</v>
      </c>
    </row>
    <row r="68" customFormat="false" ht="14.25" hidden="false" customHeight="false" outlineLevel="0" collapsed="false">
      <c r="A68" s="18" t="str">
        <f aca="false">IFERROR(MID(D68,1,FIND("|",D68)-1)&amp;"-"&amp;C68,"")</f>
        <v>AICI202116-15-2-3</v>
      </c>
      <c r="B68" s="19" t="n">
        <f aca="false">IFERROR(__xludf.dummyfunction("""COMPUTED_VALUE"""),44938)</f>
        <v>44938</v>
      </c>
      <c r="C68" s="0" t="n">
        <f aca="false">IFERROR(__xludf.dummyfunction("""COMPUTED_VALUE"""),3)</f>
        <v>3</v>
      </c>
      <c r="D68" s="0" t="str">
        <f aca="false">IFERROR(__xludf.dummyfunction("""COMPUTED_VALUE"""),"AICI202116-15-2| Desarrollar conjuntamente con el área de sistemas un mecanismo de control, que permita alertar sobre las frecuencias de uso de las atenciones de … (01/mar/2022 - 30/dic/2022)")</f>
        <v>AICI202116-15-2| Desarrollar conjuntamente con el área de sistemas un mecanismo de control, que permita alertar sobre las frecuencias de uso de las atenciones de … (01/mar/2022 - 30/dic/2022)</v>
      </c>
      <c r="E68" s="0" t="str">
        <f aca="false">IFERROR(__xludf.dummyfunction("""COMPUTED_VALUE"""),"Se evidencian soportes  de las actividades realizadas en conjunto con  la oficna de sistemas  asi:
1. 26-07-2022: Acta con Sistemas de información donde se socializa el plan de mejora interno  2. 17-08-2022  Iniciar tramite para gestionar las frecuencias "&amp;"de uso en las historias clínicas 3. 1-12-2022 Se da continuidad al proceso donde se envía correo a TICS  en el cual se observa que no se va a realizar ninguna modificación al sistema ya que la Subred va a trabajar próximamente trabajará con Dynamica. por "&amp;"lo tanto la acción queda atrasada.")</f>
        <v>Se evidencian soportes  de las actividades realizadas en conjunto con  la oficna de sistemas  asi:
1. 26-07-2022: Acta con Sistemas de información donde se socializa el plan de mejora interno  2. 17-08-2022  Iniciar tramite para gestionar las frecuencias de uso en las historias clínicas 3. 1-12-2022 Se da continuidad al proceso donde se envía correo a TICS  en el cual se observa que no se va a realizar ninguna modificación al sistema ya que la Subred va a trabajar próximamente trabajará con Dynamica. por lo tanto la acción queda atrasada.</v>
      </c>
      <c r="F68" s="0" t="str">
        <f aca="false">IFERROR(__xludf.dummyfunction("""COMPUTED_VALUE"""),"Atrasado")</f>
        <v>Atrasado</v>
      </c>
      <c r="G68" s="0" t="str">
        <f aca="false">IFERROR(__xludf.dummyfunction("""COMPUTED_VALUE"""),"Sí")</f>
        <v>Sí</v>
      </c>
    </row>
    <row r="69" customFormat="false" ht="14.25" hidden="false" customHeight="false" outlineLevel="0" collapsed="false">
      <c r="A69" s="18" t="str">
        <f aca="false">IFERROR(MID(D69,1,FIND("|",D69)-1)&amp;"-"&amp;C69,"")</f>
        <v>AICI202116-16-1-3</v>
      </c>
      <c r="B69" s="19" t="n">
        <f aca="false">IFERROR(__xludf.dummyfunction("""COMPUTED_VALUE"""),44938)</f>
        <v>44938</v>
      </c>
      <c r="C69" s="0" t="n">
        <f aca="false">IFERROR(__xludf.dummyfunction("""COMPUTED_VALUE"""),3)</f>
        <v>3</v>
      </c>
      <c r="D69" s="0" t="str">
        <f aca="false">IFERROR(__xludf.dummyfunction("""COMPUTED_VALUE"""),"AICI202116-16-1| Desarrollar Mesas minimo 2 mesas de trabajo de coordinacion con el fin de dar lectura a los hallazgos de la auditoria de control interno y … (01/mar/2022 - 30/dic/2022)")</f>
        <v>AICI202116-16-1| Desarrollar Mesas minimo 2 mesas de trabajo de coordinacion con el fin de dar lectura a los hallazgos de la auditoria de control interno y … (01/mar/2022 - 30/dic/2022)</v>
      </c>
      <c r="E69" s="0" t="str">
        <f aca="false">IFERROR(__xludf.dummyfunction("""COMPUTED_VALUE"""),"Se evidencian soportes de 2 actas  sobre mesas de trabajo de articulación entre los directivos de Urgencias, complementarios, gestión de riesgo y rutas integrales  realizadas una en octubre y otra en noviembre  asi:  actas del 3-10-2022 y 2-11-2022, se ob"&amp;"serva que en esas reuniones no participaron todas las áreas responsables, no hay participación de Facturacion, Atencion al ciudadano, Subgerencia Corporativa ni dirección de ambulatorios.  De igual manera las actas no analizan la totalidad de la problemát"&amp;"ica descrita en el hallazgo y por ende no hay avances. Acción atrasada.")</f>
        <v>Se evidencian soportes de 2 actas  sobre mesas de trabajo de articulación entre los directivos de Urgencias, complementarios, gestión de riesgo y rutas integrales  realizadas una en octubre y otra en noviembre  asi:  actas del 3-10-2022 y 2-11-2022, se observa que en esas reuniones no participaron todas las áreas responsables, no hay participación de Facturacion, Atencion al ciudadano, Subgerencia Corporativa ni dirección de ambulatorios.  De igual manera las actas no analizan la totalidad de la problemática descrita en el hallazgo y por ende no hay avances. Acción atrasada.</v>
      </c>
      <c r="F69" s="0" t="str">
        <f aca="false">IFERROR(__xludf.dummyfunction("""COMPUTED_VALUE"""),"Atrasado")</f>
        <v>Atrasado</v>
      </c>
      <c r="G69" s="0" t="str">
        <f aca="false">IFERROR(__xludf.dummyfunction("""COMPUTED_VALUE"""),"Sí")</f>
        <v>Sí</v>
      </c>
    </row>
    <row r="70" customFormat="false" ht="14.25" hidden="false" customHeight="false" outlineLevel="0" collapsed="false">
      <c r="A70" s="18" t="str">
        <f aca="false">IFERROR(MID(D70,1,FIND("|",D70)-1)&amp;"-"&amp;C70,"")</f>
        <v>AICI202116-17-1-3</v>
      </c>
      <c r="B70" s="19" t="n">
        <f aca="false">IFERROR(__xludf.dummyfunction("""COMPUTED_VALUE"""),44938)</f>
        <v>44938</v>
      </c>
      <c r="C70" s="0" t="n">
        <f aca="false">IFERROR(__xludf.dummyfunction("""COMPUTED_VALUE"""),3)</f>
        <v>3</v>
      </c>
      <c r="D70" s="0" t="str">
        <f aca="false">IFERROR(__xludf.dummyfunction("""COMPUTED_VALUE"""),"AICI202116-17-1| Desarrollar mesas de trabajo minimo 4 mesas para realizar seguimiento a la disponibilidad de medicamentos requeridos para el desarrollo de las … (01/mar/2022 - 30/dic/2022)")</f>
        <v>AICI202116-17-1| Desarrollar mesas de trabajo minimo 4 mesas para realizar seguimiento a la disponibilidad de medicamentos requeridos para el desarrollo de las … (01/mar/2022 - 30/dic/2022)</v>
      </c>
      <c r="E70" s="0" t="str">
        <f aca="false">IFERROR(__xludf.dummyfunction("""COMPUTED_VALUE"""),"Se evidencian soportes de las mesas de trabajo con el proposito de garantizar los insumos para las actividades de PYM y el desarrollo de la RPMS: 1. 23-08-2022  2. 02-12-2022: 
3. 06-12-2022. El acta 4 del 06-01-2023 no pertenece al periodo de evaluación."&amp;"  No hay participación en las mesas de todos los responsables, no se observa participación de Dirección de ambulatorios, ni Dirección Administrativa, las mesas de trabajo abordan parcialmente la temática mencionada en el hallazgo y definida en la acción: "&amp;"Seguimiento a la disponibilidad de  medicamentos requeridos para el desarrollo de las actividades de la RPYM de la salud para la vigencia, por unidad de atención, con el fin de que se tomen como base para la adquisición de los mismo y punto de control a l"&amp;"a solicitud realizadas desde las USS por parte de los Gestores. solo se revisa  el tema de insumos de planificación familiar sin evaluar otras actividades.  Acción atrasada.")</f>
        <v>Se evidencian soportes de las mesas de trabajo con el proposito de garantizar los insumos para las actividades de PYM y el desarrollo de la RPMS: 1. 23-08-2022  2. 02-12-2022: 
3. 06-12-2022. El acta 4 del 06-01-2023 no pertenece al periodo de evaluación.  No hay participación en las mesas de todos los responsables, no se observa participación de Dirección de ambulatorios, ni Dirección Administrativa, las mesas de trabajo abordan parcialmente la temática mencionada en el hallazgo y definida en la acción: Seguimiento a la disponibilidad de  medicamentos requeridos para el desarrollo de las actividades de la RPYM de la salud para la vigencia, por unidad de atención, con el fin de que se tomen como base para la adquisición de los mismo y punto de control a la solicitud realizadas desde las USS por parte de los Gestores. solo se revisa  el tema de insumos de planificación familiar sin evaluar otras actividades.  Acción atrasada.</v>
      </c>
      <c r="F70" s="0" t="str">
        <f aca="false">IFERROR(__xludf.dummyfunction("""COMPUTED_VALUE"""),"Atrasado")</f>
        <v>Atrasado</v>
      </c>
      <c r="G70" s="0" t="str">
        <f aca="false">IFERROR(__xludf.dummyfunction("""COMPUTED_VALUE"""),"Sí")</f>
        <v>Sí</v>
      </c>
    </row>
    <row r="71" customFormat="false" ht="14.25" hidden="false" customHeight="false" outlineLevel="0" collapsed="false">
      <c r="A71" s="18" t="str">
        <f aca="false">IFERROR(MID(D71,1,FIND("|",D71)-1)&amp;"-"&amp;C71,"")</f>
        <v>AICI202116-18-1-3</v>
      </c>
      <c r="B71" s="19" t="n">
        <f aca="false">IFERROR(__xludf.dummyfunction("""COMPUTED_VALUE"""),44938)</f>
        <v>44938</v>
      </c>
      <c r="C71" s="0" t="n">
        <f aca="false">IFERROR(__xludf.dummyfunction("""COMPUTED_VALUE"""),3)</f>
        <v>3</v>
      </c>
      <c r="D71" s="0" t="str">
        <f aca="false">IFERROR(__xludf.dummyfunction("""COMPUTED_VALUE"""),"AICI202116-18-1| Realizar mesas de coordinacion interinstitucional cada dos meses con el fin de evaluar los resultados obtenidos en la implementacion de la Ruta de … (01/mar/2022 - 31/dic/2022)")</f>
        <v>AICI202116-18-1| Realizar mesas de coordinacion interinstitucional cada dos meses con el fin de evaluar los resultados obtenidos en la implementacion de la Ruta de … (01/mar/2022 - 31/dic/2022)</v>
      </c>
      <c r="E71" s="0" t="str">
        <f aca="false">IFERROR(__xludf.dummyfunction("""COMPUTED_VALUE"""),"Se presentan actas de comité materno infantil que no corresponden a la acción planteada para la ruta de P y M")</f>
        <v>Se presentan actas de comité materno infantil que no corresponden a la acción planteada para la ruta de P y M</v>
      </c>
      <c r="F71" s="0" t="str">
        <f aca="false">IFERROR(__xludf.dummyfunction("""COMPUTED_VALUE"""),"Atrasado")</f>
        <v>Atrasado</v>
      </c>
      <c r="G71" s="0" t="str">
        <f aca="false">IFERROR(__xludf.dummyfunction("""COMPUTED_VALUE"""),"Sí")</f>
        <v>Sí</v>
      </c>
    </row>
    <row r="72" customFormat="false" ht="14.25" hidden="false" customHeight="false" outlineLevel="0" collapsed="false">
      <c r="A72" s="18" t="str">
        <f aca="false">IFERROR(MID(D72,1,FIND("|",D72)-1)&amp;"-"&amp;C72,"")</f>
        <v>AICI202116-19-1-3</v>
      </c>
      <c r="B72" s="19" t="n">
        <f aca="false">IFERROR(__xludf.dummyfunction("""COMPUTED_VALUE"""),44938)</f>
        <v>44938</v>
      </c>
      <c r="C72" s="0" t="n">
        <f aca="false">IFERROR(__xludf.dummyfunction("""COMPUTED_VALUE"""),3)</f>
        <v>3</v>
      </c>
      <c r="D72" s="0" t="str">
        <f aca="false">IFERROR(__xludf.dummyfunction("""COMPUTED_VALUE"""),"AICI202116-19-1| Actualizar documentos de RIA PYM incluyendo manejo de bases de datos, entrega actualizada de estas a las unidades de atención, puntos de control … (01/mar/2022 - 31/dic/2022)")</f>
        <v>AICI202116-19-1| Actualizar documentos de RIA PYM incluyendo manejo de bases de datos, entrega actualizada de estas a las unidades de atención, puntos de control … (01/mar/2022 - 31/dic/2022)</v>
      </c>
      <c r="E72" s="0" t="str">
        <f aca="false">IFERROR(__xludf.dummyfunction("""COMPUTED_VALUE"""),"Se presenta el documento MI-RS-I-68-02-Implementación ruta promoción y mantenimiento.pdf publicado en Almera, este documento menciona los lineamientos para la implementación de la RPMS, criterios de atención. El documento no define las actividades adminis"&amp;"trativas que se deben realizar una vez se entrega la base de datos a cada unidad de atención, la periodicidad de entrega criterios técnicos para la gestión y seguimiento a los usuarios de la RPMS, reporte de información, etc. No se describen  puntos de co"&amp;"ntrol, mecanismos de verificación y validación de la información, por lo tanto la acción aún no se ha cumplido a cabalidad y se encuentra Atrasada.")</f>
        <v>Se presenta el documento MI-RS-I-68-02-Implementación ruta promoción y mantenimiento.pdf publicado en Almera, este documento menciona los lineamientos para la implementación de la RPMS, criterios de atención. El documento no define las actividades administrativas que se deben realizar una vez se entrega la base de datos a cada unidad de atención, la periodicidad de entrega criterios técnicos para la gestión y seguimiento a los usuarios de la RPMS, reporte de información, etc. No se describen  puntos de control, mecanismos de verificación y validación de la información, por lo tanto la acción aún no se ha cumplido a cabalidad y se encuentra Atrasada.</v>
      </c>
      <c r="F72" s="0" t="str">
        <f aca="false">IFERROR(__xludf.dummyfunction("""COMPUTED_VALUE"""),"Atrasado")</f>
        <v>Atrasado</v>
      </c>
      <c r="G72" s="0" t="str">
        <f aca="false">IFERROR(__xludf.dummyfunction("""COMPUTED_VALUE"""),"Sí")</f>
        <v>Sí</v>
      </c>
    </row>
    <row r="73" customFormat="false" ht="14.25" hidden="false" customHeight="false" outlineLevel="0" collapsed="false">
      <c r="A73" s="18" t="str">
        <f aca="false">IFERROR(MID(D73,1,FIND("|",D73)-1)&amp;"-"&amp;C73,"")</f>
        <v>AICI202116-19-2-3</v>
      </c>
      <c r="B73" s="19" t="n">
        <f aca="false">IFERROR(__xludf.dummyfunction("""COMPUTED_VALUE"""),44938)</f>
        <v>44938</v>
      </c>
      <c r="C73" s="0" t="n">
        <f aca="false">IFERROR(__xludf.dummyfunction("""COMPUTED_VALUE"""),3)</f>
        <v>3</v>
      </c>
      <c r="D73" s="0" t="str">
        <f aca="false">IFERROR(__xludf.dummyfunction("""COMPUTED_VALUE"""),"AICI202116-19-2| Socializar a cada uno de los referentes y colaboradores de las unidades,(100 colaboradores) que operativizan el proceso, la adscripcion a la … (01/mar/2022 - 31/dic/2022)")</f>
        <v>AICI202116-19-2| Socializar a cada uno de los referentes y colaboradores de las unidades,(100 colaboradores) que operativizan el proceso, la adscripcion a la … (01/mar/2022 - 31/dic/2022)</v>
      </c>
      <c r="E73" s="0" t="str">
        <f aca="false">IFERROR(__xludf.dummyfunction("""COMPUTED_VALUE""")," Socializacion de Documentos: Se realiza socializacion a 977 personas relacionadas de la siguiente manera:
RIAS Alteraciones nutricionales: 101 personas
RIAS Cancer: 100 personas
RIAS Cerebro Cardio Vascular y Metabolica: 188 personas
RIAS Enfermedades Re"&amp;"spiratorias cronicas: 103 personas
RIAS Infecciosas: 75 personas
RIAS SPA: 98 personas 
RIAS Salud Mental: 100 personas
RIAS Materno Perinatal: 108 personas
RIAS Promoción y Mantenimiento: 104 personas")</f>
        <v> Socializacion de Documentos: Se realiza socializacion a 977 personas relacionadas de la siguiente manera:
RIAS Alteraciones nutricionales: 101 personas
RIAS Cancer: 100 personas
RIAS Cerebro Cardio Vascular y Metabolica: 188 personas
RIAS Enfermedades Respiratorias cronicas: 103 personas
RIAS Infecciosas: 75 personas
RIAS SPA: 98 personas 
RIAS Salud Mental: 100 personas
RIAS Materno Perinatal: 108 personas
RIAS Promoción y Mantenimiento: 104 personas</v>
      </c>
      <c r="F73" s="0" t="str">
        <f aca="false">IFERROR(__xludf.dummyfunction("""COMPUTED_VALUE"""),"Completo")</f>
        <v>Completo</v>
      </c>
      <c r="G73" s="0" t="str">
        <f aca="false">IFERROR(__xludf.dummyfunction("""COMPUTED_VALUE"""),"Sí")</f>
        <v>Sí</v>
      </c>
    </row>
    <row r="74" customFormat="false" ht="14.25" hidden="false" customHeight="false" outlineLevel="0" collapsed="false">
      <c r="A74" s="18" t="str">
        <f aca="false">IFERROR(MID(D74,1,FIND("|",D74)-1)&amp;"-"&amp;C74,"")</f>
        <v>AICI202116-20-1-3</v>
      </c>
      <c r="B74" s="19" t="n">
        <f aca="false">IFERROR(__xludf.dummyfunction("""COMPUTED_VALUE"""),44938)</f>
        <v>44938</v>
      </c>
      <c r="C74" s="0" t="n">
        <f aca="false">IFERROR(__xludf.dummyfunction("""COMPUTED_VALUE"""),3)</f>
        <v>3</v>
      </c>
      <c r="D74" s="0" t="str">
        <f aca="false">IFERROR(__xludf.dummyfunction("""COMPUTED_VALUE"""),"AICI202116-20-1| Realizar mesa de trabajo con articulacion en el area de sistemas de informacion TIC., para realizar lectura de necesidades de informacion de la RPY … (01/mar/2022 - 31/dic/2022)")</f>
        <v>AICI202116-20-1| Realizar mesa de trabajo con articulacion en el area de sistemas de informacion TIC., para realizar lectura de necesidades de informacion de la RPY … (01/mar/2022 - 31/dic/2022)</v>
      </c>
      <c r="E74" s="0" t="str">
        <f aca="false">IFERROR(__xludf.dummyfunction("""COMPUTED_VALUE"""),"Se presentan actas de reunión con el área de sistemas y auditora de calidad RIAS, relacionada con el tema de articulación y programación de sistemas HIS
1. 26-07-2022: Acta con Sistemas de información donde se socializa el plan de mejora interno 
2. 17-08"&amp;"-2022  Iniciar tramite para gestionar las frecuencias de uso y las necesidades de la RIA PYMS  en las historias clínicas")</f>
        <v>Se presentan actas de reunión con el área de sistemas y auditora de calidad RIAS, relacionada con el tema de articulación y programación de sistemas HIS
1. 26-07-2022: Acta con Sistemas de información donde se socializa el plan de mejora interno 
2. 17-08-2022  Iniciar tramite para gestionar las frecuencias de uso y las necesidades de la RIA PYMS  en las historias clínicas</v>
      </c>
      <c r="F74" s="0" t="str">
        <f aca="false">IFERROR(__xludf.dummyfunction("""COMPUTED_VALUE"""),"Completo")</f>
        <v>Completo</v>
      </c>
      <c r="G74" s="0" t="str">
        <f aca="false">IFERROR(__xludf.dummyfunction("""COMPUTED_VALUE"""),"Sí")</f>
        <v>Sí</v>
      </c>
    </row>
    <row r="75" customFormat="false" ht="14.25" hidden="false" customHeight="false" outlineLevel="0" collapsed="false">
      <c r="A75" s="18" t="str">
        <f aca="false">IFERROR(MID(D75,1,FIND("|",D75)-1)&amp;"-"&amp;C75,"")</f>
        <v>AICI202116-20-2-3</v>
      </c>
      <c r="B75" s="19" t="n">
        <f aca="false">IFERROR(__xludf.dummyfunction("""COMPUTED_VALUE"""),44938)</f>
        <v>44938</v>
      </c>
      <c r="C75" s="0" t="n">
        <f aca="false">IFERROR(__xludf.dummyfunction("""COMPUTED_VALUE"""),3)</f>
        <v>3</v>
      </c>
      <c r="D75" s="0" t="str">
        <f aca="false">IFERROR(__xludf.dummyfunction("""COMPUTED_VALUE"""),"AICI202116-20-2| Realizar plan de trabajo para fortalecer el tema de sistemas de información relacionado con el desarrollo de la RPYMS (01/mar/2022 - 31/dic/2022)")</f>
        <v>AICI202116-20-2| Realizar plan de trabajo para fortalecer el tema de sistemas de información relacionado con el desarrollo de la RPYMS (01/mar/2022 - 31/dic/2022)</v>
      </c>
      <c r="E75" s="0" t="str">
        <f aca="false">IFERROR(__xludf.dummyfunction("""COMPUTED_VALUE"""),"Se evidencia plan de trabajo para establecer backup de información, el plan está firmado por la líder de la Ruta Jefe Maritza Serna Gamarra,  no e un plan de trabajo concertado por Direccion de gestion del riesgo, Jefe Sistemas TIC, Facturación, para fort"&amp;"alecer el tema de sistemas de información relacionado con el desarrollo de la RPYMS  y así solucionar los problemas relacionados con la operación e interrelación de otros sistemas de información asociados al desarrollo de actividades y procesamiento de in"&amp;"formación de las actividades de la RPMS  tal como lo menciona el hallazgo. acción atrasada.   ")</f>
        <v>Se evidencia plan de trabajo para establecer backup de información, el plan está firmado por la líder de la Ruta Jefe Maritza Serna Gamarra,  no e un plan de trabajo concertado por Direccion de gestion del riesgo, Jefe Sistemas TIC, Facturación, para fortalecer el tema de sistemas de información relacionado con el desarrollo de la RPYMS  y así solucionar los problemas relacionados con la operación e interrelación de otros sistemas de información asociados al desarrollo de actividades y procesamiento de información de las actividades de la RPMS  tal como lo menciona el hallazgo. acción atrasada.   </v>
      </c>
      <c r="F75" s="0" t="str">
        <f aca="false">IFERROR(__xludf.dummyfunction("""COMPUTED_VALUE"""),"Atrasado")</f>
        <v>Atrasado</v>
      </c>
      <c r="G75" s="0" t="str">
        <f aca="false">IFERROR(__xludf.dummyfunction("""COMPUTED_VALUE"""),"Sí")</f>
        <v>Sí</v>
      </c>
    </row>
    <row r="76" customFormat="false" ht="14.25" hidden="false" customHeight="false" outlineLevel="0" collapsed="false">
      <c r="A76" s="18" t="str">
        <f aca="false">IFERROR(MID(D76,1,FIND("|",D76)-1)&amp;"-"&amp;C76,"")</f>
        <v>AICI202116-21-1-3</v>
      </c>
      <c r="B76" s="19" t="n">
        <f aca="false">IFERROR(__xludf.dummyfunction("""COMPUTED_VALUE"""),44938)</f>
        <v>44938</v>
      </c>
      <c r="C76" s="0" t="n">
        <f aca="false">IFERROR(__xludf.dummyfunction("""COMPUTED_VALUE"""),3)</f>
        <v>3</v>
      </c>
      <c r="D76" s="0" t="str">
        <f aca="false">IFERROR(__xludf.dummyfunction("""COMPUTED_VALUE"""),"AICI202116-21-1| Socializar el procedimiento de gestion documental de la subrednorte sobre el manejo de la informacion y su custodia a los 10 referentes de las … (18/ene/2022 - 28/may/2022)")</f>
        <v>AICI202116-21-1| Socializar el procedimiento de gestion documental de la subrednorte sobre el manejo de la informacion y su custodia a los 10 referentes de las … (18/ene/2022 - 28/may/2022)</v>
      </c>
      <c r="E76" s="0" t="str">
        <f aca="false">IFERROR(__xludf.dummyfunction("""COMPUTED_VALUE"""),"Se presentan pantallazos de socialización de la divulgación del procedimiento GENERACIÓN DE COPIAS DE SEGURIDAD con código AP-GI-I-03-01, enviados por correo electrónico a los equipos dinamizadores como también a los referentes .
Estos correos fueron envi"&amp;"ados los días 14 de julio 2022 y el 2 de diciembre de 2022 ")</f>
        <v>Se presentan pantallazos de socialización de la divulgación del procedimiento GENERACIÓN DE COPIAS DE SEGURIDAD con código AP-GI-I-03-01, enviados por correo electrónico a los equipos dinamizadores como también a los referentes .
Estos correos fueron enviados los días 14 de julio 2022 y el 2 de diciembre de 2022 </v>
      </c>
      <c r="F76" s="0" t="str">
        <f aca="false">IFERROR(__xludf.dummyfunction("""COMPUTED_VALUE"""),"Completo")</f>
        <v>Completo</v>
      </c>
      <c r="G76" s="0" t="str">
        <f aca="false">IFERROR(__xludf.dummyfunction("""COMPUTED_VALUE"""),"Sí")</f>
        <v>Sí</v>
      </c>
    </row>
    <row r="77" customFormat="false" ht="14.25" hidden="false" customHeight="false" outlineLevel="0" collapsed="false">
      <c r="A77" s="18" t="str">
        <f aca="false">IFERROR(MID(D77,1,FIND("|",D77)-1)&amp;"-"&amp;C77,"")</f>
        <v>AICI202116-21-2-3</v>
      </c>
      <c r="B77" s="19" t="n">
        <f aca="false">IFERROR(__xludf.dummyfunction("""COMPUTED_VALUE"""),44938)</f>
        <v>44938</v>
      </c>
      <c r="C77" s="0" t="n">
        <f aca="false">IFERROR(__xludf.dummyfunction("""COMPUTED_VALUE"""),3)</f>
        <v>3</v>
      </c>
      <c r="D77" s="0" t="str">
        <f aca="false">IFERROR(__xludf.dummyfunction("""COMPUTED_VALUE"""),"AICI202116-21-2| Definir e implementar el procedimiento de backup de la informacion de la RPMS y realizar la solicitud de equipos tecnologicos requeridos al area … (18/ene/2022 - 28/may/2022)")</f>
        <v>AICI202116-21-2| Definir e implementar el procedimiento de backup de la informacion de la RPMS y realizar la solicitud de equipos tecnologicos requeridos al area … (18/ene/2022 - 28/may/2022)</v>
      </c>
      <c r="E77" s="0" t="str">
        <f aca="false">IFERROR(__xludf.dummyfunction("""COMPUTED_VALUE"""),"Se evidencia plan de trabajo para establecer los backup de la RPMS, el plan está firmado por la líder de la Ruta Jefe Maritza Serna Gamarra,  para el soportes de  las acciones es el mismo de los seguimientos anteriores, pero no tiene ninguna fecha de susc"&amp;"ripción del plan, fechas de cumplimiento de las acciones, ni soporte de cumplimiento de las mismas, por lo cual no es posible evidenciar la implementación del  procedimiento de backup de la información de la RPMS. Estado de la acción atrasada.")</f>
        <v>Se evidencia plan de trabajo para establecer los backup de la RPMS, el plan está firmado por la líder de la Ruta Jefe Maritza Serna Gamarra,  para el soportes de  las acciones es el mismo de los seguimientos anteriores, pero no tiene ninguna fecha de suscripción del plan, fechas de cumplimiento de las acciones, ni soporte de cumplimiento de las mismas, por lo cual no es posible evidenciar la implementación del  procedimiento de backup de la información de la RPMS. Estado de la acción atrasada.</v>
      </c>
      <c r="F77" s="0" t="str">
        <f aca="false">IFERROR(__xludf.dummyfunction("""COMPUTED_VALUE"""),"Atrasado")</f>
        <v>Atrasado</v>
      </c>
    </row>
    <row r="78" customFormat="false" ht="14.25" hidden="false" customHeight="false" outlineLevel="0" collapsed="false">
      <c r="A78" s="18" t="str">
        <f aca="false">IFERROR(MID(D78,1,FIND("|",D78)-1)&amp;"-"&amp;C78,"")</f>
        <v>AICI202116-22-1-3</v>
      </c>
      <c r="B78" s="19" t="n">
        <f aca="false">IFERROR(__xludf.dummyfunction("""COMPUTED_VALUE"""),44938)</f>
        <v>44938</v>
      </c>
      <c r="C78" s="0" t="n">
        <f aca="false">IFERROR(__xludf.dummyfunction("""COMPUTED_VALUE"""),3)</f>
        <v>3</v>
      </c>
      <c r="D78" s="0" t="str">
        <f aca="false">IFERROR(__xludf.dummyfunction("""COMPUTED_VALUE"""),"AICI202116-22-1| Socializarel plan de auditoria de las RIAS a los equipos operarivos y dinamizador de la RPYMS (01/mar/2022 - 31/dic/2022)")</f>
        <v>AICI202116-22-1| Socializarel plan de auditoria de las RIAS a los equipos operarivos y dinamizador de la RPYMS (01/mar/2022 - 31/dic/2022)</v>
      </c>
      <c r="E78" s="0" t="str">
        <f aca="false">IFERROR(__xludf.dummyfunction("""COMPUTED_VALUE"""),"Se realiza revisión de actas de  Socialización a Equipo Dinamizador Ruta Promoción y Mantenimiento Plan de auditoria y se evidencia presentació en powerpoint con temas relacionados al plan de auditorías
Se aportan los siguientes soportes:
29-08-2022: Se c"&amp;"uenta con acta de socialización a 25 personas del equipo dinamizador y operativo")</f>
        <v>Se realiza revisión de actas de  Socialización a Equipo Dinamizador Ruta Promoción y Mantenimiento Plan de auditoria y se evidencia presentació en powerpoint con temas relacionados al plan de auditorías
Se aportan los siguientes soportes:
29-08-2022: Se cuenta con acta de socialización a 25 personas del equipo dinamizador y operativo</v>
      </c>
      <c r="F78" s="0" t="str">
        <f aca="false">IFERROR(__xludf.dummyfunction("""COMPUTED_VALUE"""),"Completo")</f>
        <v>Completo</v>
      </c>
      <c r="G78" s="0" t="str">
        <f aca="false">IFERROR(__xludf.dummyfunction("""COMPUTED_VALUE"""),"Sí")</f>
        <v>Sí</v>
      </c>
    </row>
    <row r="79" customFormat="false" ht="14.25" hidden="false" customHeight="false" outlineLevel="0" collapsed="false">
      <c r="A79" s="18" t="str">
        <f aca="false">IFERROR(MID(D79,1,FIND("|",D79)-1)&amp;"-"&amp;C79,"")</f>
        <v>AICI202116-22-2-3</v>
      </c>
      <c r="B79" s="19" t="n">
        <f aca="false">IFERROR(__xludf.dummyfunction("""COMPUTED_VALUE"""),44938)</f>
        <v>44938</v>
      </c>
      <c r="C79" s="0" t="n">
        <f aca="false">IFERROR(__xludf.dummyfunction("""COMPUTED_VALUE"""),3)</f>
        <v>3</v>
      </c>
      <c r="D79" s="0" t="str">
        <f aca="false">IFERROR(__xludf.dummyfunction("""COMPUTED_VALUE"""),"AICI202116-22-2| Implementar el plan de auditoria de las RIAS en equipos operativos y dinamizador de la RPYMS (01/mar/2022 - 31/dic/2022)")</f>
        <v>AICI202116-22-2| Implementar el plan de auditoria de las RIAS en equipos operativos y dinamizador de la RPYMS (01/mar/2022 - 31/dic/2022)</v>
      </c>
      <c r="E79" s="0" t="str">
        <f aca="false">IFERROR(__xludf.dummyfunction("""COMPUTED_VALUE"""),"Los soportes entregados para esta acción no corresponden a lo solicitado, evidenciado que son actas de Socialización sobre demanda inducida, implementación de la ruta, capacidad instalada y sistemas de información y no tienen relación a la Implementación "&amp;"del plan de auditoria de las RIAS en equipos operativos y dinamizador de la RPYMS
Se aportan los siguientes soportes:
23/09/2022: CAPS Gaitana socializado a 2 personas
23/09/2022: CAPS Gaitana/ RINCÓN socializado a 2 personas
19/10/2022: CHAPINERO sociali"&amp;"zado a 2 personas
25/10/2022: SAN LUIS socializado a 2 personas
14/10/2022: BOYACÁ REAL socializado a 2 personas
14/10/2022: Bellavista socializado a 1 persona 
14/10/2022: GARCES NAVAS socializado a 1 persona
14/10/2022: ALAMOS socializado a 1 persona
9/"&amp;"05/2022: CAPS 80 socializado a 10 personas
29/04/2022: UNIDAD CODITO socializado a 3 personas 
20/05/2022: RINCÓN socializado a 14 personas
Total se socializa a 40 personas")</f>
        <v>Los soportes entregados para esta acción no corresponden a lo solicitado, evidenciado que son actas de Socialización sobre demanda inducida, implementación de la ruta, capacidad instalada y sistemas de información y no tienen relación a la Implementación del plan de auditoria de las RIAS en equipos operativos y dinamizador de la RPYMS
Se aportan los siguientes soportes:
23/09/2022: CAPS Gaitana socializado a 2 personas
23/09/2022: CAPS Gaitana/ RINCÓN socializado a 2 personas
19/10/2022: CHAPINERO socializado a 2 personas
25/10/2022: SAN LUIS socializado a 2 personas
14/10/2022: BOYACÁ REAL socializado a 2 personas
14/10/2022: Bellavista socializado a 1 persona 
14/10/2022: GARCES NAVAS socializado a 1 persona
14/10/2022: ALAMOS socializado a 1 persona
9/05/2022: CAPS 80 socializado a 10 personas
29/04/2022: UNIDAD CODITO socializado a 3 personas 
20/05/2022: RINCÓN socializado a 14 personas
Total se socializa a 40 personas</v>
      </c>
      <c r="F79" s="0" t="str">
        <f aca="false">IFERROR(__xludf.dummyfunction("""COMPUTED_VALUE"""),"Atrasado")</f>
        <v>Atrasado</v>
      </c>
    </row>
    <row r="80" customFormat="false" ht="14.25" hidden="false" customHeight="false" outlineLevel="0" collapsed="false">
      <c r="A80" s="18" t="str">
        <f aca="false">IFERROR(MID(D80,1,FIND("|",D80)-1)&amp;"-"&amp;C80,"")</f>
        <v>AICI202116-2-1-4</v>
      </c>
      <c r="B80" s="19" t="n">
        <f aca="false">IFERROR(__xludf.dummyfunction("""COMPUTED_VALUE"""),45028)</f>
        <v>45028</v>
      </c>
      <c r="C80" s="0" t="n">
        <f aca="false">IFERROR(__xludf.dummyfunction("""COMPUTED_VALUE"""),4)</f>
        <v>4</v>
      </c>
      <c r="D80" s="0" t="str">
        <f aca="false">IFERROR(__xludf.dummyfunction("""COMPUTED_VALUE"""),"AICI202116-2-1| Actualizar los documentos de todas las Rutas, adicionando item de: 1. Capacidad instalada y talento humano de acuerdoa la poblacion asginada. 2… (01/mar/2022 - 30/nov/2022)")</f>
        <v>AICI202116-2-1| Actualizar los documentos de todas las Rutas, adicionando item de: 1. Capacidad instalada y talento humano de acuerdoa la poblacion asginada. 2… (01/mar/2022 - 30/nov/2022)</v>
      </c>
      <c r="E80" s="0" t="str">
        <f aca="false">IFERROR(__xludf.dummyfunction("""COMPUTED_VALUE"""),"Se realiza validación de información y soportes de documentos  normalizados, organigramas y socializaciones de instructivos, se valida que los documentos estén cargados en Almera, adicionalmente se observa archivo de capacidad  instaladas para las RIAS  l"&amp;"os soportes se verificaron en el drive brindado por el proceso  https://subredeintenorte-my.sharepoint.com/personal/direcciongestiondelriesgo_subrednorte_gov_co/_layouts/15/onedrive.aspx?ga=1&amp;id=%2Fpersonal%2Fdirecciongestiondelriesgo%5Fsubrednorte%5Fgov%"&amp;"5Fco%2FDocuments%2FCONTROL%20INTERNO%20AJUSTADO%2F2%2E%20Documentos%20RIAS%20Se%20ajusta.
Se realiza normalización de los siguientes documentos:
1. MI-RS-I-27-03-Asignacion, Adscripción, Inscripción y Adherencia de la población objeto a las unidades y h"&amp;"ospitales, en el cual se describe el proceso de adscripción, inscripción, asignación y adherencia de las RIAS, también se define la forma de georreferenciar, y el cálculo para estos indicadores.
2. Se anexan pantallazo de correos de socialización MI-RS-I-"&amp;"27-03 de ambulatorios y acta de socialización del instructivo MI-RS-I-27-03  a las otras direcciones
3. MI-RS-I-72-01 Capacidad Instalada: el cual da cuenta del proceso de la demanda inducida, el cual describe de manera general el talento humano y el proc"&amp;"eso de la asignación de la población, dado que la población es dinámica y el talento humano se calculo de acuerdo al numero de población adscrita reportada en el mes.. 
4. MI-GA-F-67-01 Formato de demanda inducida: el cual es socializado por la dirección "&amp;"ambulatoria
5.  MI-RS-PR-02-03 RUTA INTEGRAL DE ATENCIÓN EN SALUD DE ENFERMEDAD RESPIRATORIA CRÓNICA se anexan pantallazos en Almera
6. Se anexa pantallazo de instructivo de sistemas de información cargado en Almera MI-RS-I-71-01 ")</f>
        <v>Se realiza validación de información y soportes de documentos  normalizados, organigramas y socializaciones de instructivos, se valida que los documentos estén cargados en Almera, adicionalmente se observa archivo de capacidad  instaladas para las RIAS  los soportes se verificaron en el drive brindado por el proceso  https://subredeintenorte-my.sharepoint.com/personal/direcciongestiondelriesgo_subrednorte_gov_co/_layouts/15/onedrive.aspx?ga=1&amp;id=%2Fpersonal%2Fdirecciongestiondelriesgo%5Fsubrednorte%5Fgov%5Fco%2FDocuments%2FCONTROL%20INTERNO%20AJUSTADO%2F2%2E%20Documentos%20RIAS%20Se%20ajusta.
Se realiza normalización de los siguientes documentos:
1. MI-RS-I-27-03-Asignacion, Adscripción, Inscripción y Adherencia de la población objeto a las unidades y hospitales, en el cual se describe el proceso de adscripción, inscripción, asignación y adherencia de las RIAS, también se define la forma de georreferenciar, y el cálculo para estos indicadores.
2. Se anexan pantallazo de correos de socialización MI-RS-I-27-03 de ambulatorios y acta de socialización del instructivo MI-RS-I-27-03  a las otras direcciones
3. MI-RS-I-72-01 Capacidad Instalada: el cual da cuenta del proceso de la demanda inducida, el cual describe de manera general el talento humano y el proceso de la asignación de la población, dado que la población es dinámica y el talento humano se calculo de acuerdo al numero de población adscrita reportada en el mes.. 
4. MI-GA-F-67-01 Formato de demanda inducida: el cual es socializado por la dirección ambulatoria
5.  MI-RS-PR-02-03 RUTA INTEGRAL DE ATENCIÓN EN SALUD DE ENFERMEDAD RESPIRATORIA CRÓNICA se anexan pantallazos en Almera
6. Se anexa pantallazo de instructivo de sistemas de información cargado en Almera MI-RS-I-71-01 </v>
      </c>
      <c r="F80" s="0" t="str">
        <f aca="false">IFERROR(__xludf.dummyfunction("""COMPUTED_VALUE"""),"Completo")</f>
        <v>Completo</v>
      </c>
      <c r="G80" s="0" t="str">
        <f aca="false">IFERROR(__xludf.dummyfunction("""COMPUTED_VALUE"""),"Sí")</f>
        <v>Sí</v>
      </c>
    </row>
    <row r="81" customFormat="false" ht="14.25" hidden="false" customHeight="false" outlineLevel="0" collapsed="false">
      <c r="A81" s="18" t="str">
        <f aca="false">IFERROR(MID(D81,1,FIND("|",D81)-1)&amp;"-"&amp;C81,"")</f>
        <v>AICI202116-3-1-4</v>
      </c>
      <c r="B81" s="19" t="n">
        <f aca="false">IFERROR(__xludf.dummyfunction("""COMPUTED_VALUE"""),45028)</f>
        <v>45028</v>
      </c>
      <c r="C81" s="0" t="n">
        <f aca="false">IFERROR(__xludf.dummyfunction("""COMPUTED_VALUE"""),4)</f>
        <v>4</v>
      </c>
      <c r="D81" s="0" t="str">
        <f aca="false">IFERROR(__xludf.dummyfunction("""COMPUTED_VALUE"""),"AICI202116-3-1| Trabajar las acciones para mitigar los riesgos con Desarrollo Institucional y la Direccion de Gestion del Riesgo articulando el del Mapa de Riesgo … (01-03-/2022 - 30/jun/2022)")</f>
        <v>AICI202116-3-1| Trabajar las acciones para mitigar los riesgos con Desarrollo Institucional y la Direccion de Gestion del Riesgo articulando el del Mapa de Riesgo … (01-03-/2022 - 30/jun/2022)</v>
      </c>
      <c r="E81" s="0" t="str">
        <f aca="false">IFERROR(__xludf.dummyfunction("""COMPUTED_VALUE"""),"Dentro de los soportes aportados por el proceso para el seguimiento  se tiene : 
1. Se anexa oficio a desarrollo Institucional   2. Acta de taller de socialización riesgos 2023 del mes de diciembre 3. Listado de asistencia de la participación del taller 4"&amp;". Presentación del Taller de socialización mapa de riesgos 2023 5, Acta con desarrollo institucional del mes de octubre donde se informa que esta dependencia realizará ajustes para el 4 trimestre, sin embargo no se realiza actividad 6. Se anexan soportes "&amp;"de Mapa de Riesgos de 4 trimestre de acuerdo a la estructura definida por desarrollo institucional.")</f>
        <v>Dentro de los soportes aportados por el proceso para el seguimiento  se tiene : 
1. Se anexa oficio a desarrollo Institucional   2. Acta de taller de socialización riesgos 2023 del mes de diciembre 3. Listado de asistencia de la participación del taller 4. Presentación del Taller de socialización mapa de riesgos 2023 5, Acta con desarrollo institucional del mes de octubre donde se informa que esta dependencia realizará ajustes para el 4 trimestre, sin embargo no se realiza actividad 6. Se anexan soportes de Mapa de Riesgos de 4 trimestre de acuerdo a la estructura definida por desarrollo institucional.</v>
      </c>
      <c r="F81" s="0" t="str">
        <f aca="false">IFERROR(__xludf.dummyfunction("""COMPUTED_VALUE"""),"Completo")</f>
        <v>Completo</v>
      </c>
      <c r="G81" s="0" t="str">
        <f aca="false">IFERROR(__xludf.dummyfunction("""COMPUTED_VALUE"""),"Sí")</f>
        <v>Sí</v>
      </c>
    </row>
    <row r="82" customFormat="false" ht="14.25" hidden="false" customHeight="false" outlineLevel="0" collapsed="false">
      <c r="A82" s="18" t="str">
        <f aca="false">IFERROR(MID(D82,1,FIND("|",D82)-1)&amp;"-"&amp;C82,"")</f>
        <v>AICI202116-4-1-4</v>
      </c>
      <c r="B82" s="19" t="n">
        <f aca="false">IFERROR(__xludf.dummyfunction("""COMPUTED_VALUE"""),45028)</f>
        <v>45028</v>
      </c>
      <c r="C82" s="0" t="n">
        <f aca="false">IFERROR(__xludf.dummyfunction("""COMPUTED_VALUE"""),4)</f>
        <v>4</v>
      </c>
      <c r="D82" s="0" t="str">
        <f aca="false">IFERROR(__xludf.dummyfunction("""COMPUTED_VALUE"""),"AICI202116-4-1| Actualizar la caracterizacion de la Direccion de Gestion del Riesgo y los procesos las actividades de las RIAS en los procesos procedimientos … (01/mar/2022 - 30/sept/2022)")</f>
        <v>AICI202116-4-1| Actualizar la caracterizacion de la Direccion de Gestion del Riesgo y los procesos las actividades de las RIAS en los procesos procedimientos … (01/mar/2022 - 30/sept/2022)</v>
      </c>
      <c r="E82" s="0" t="str">
        <f aca="false">IFERROR(__xludf.dummyfunction("""COMPUTED_VALUE"""),"Se realiza validación de soporte de actualización de la caracterización MI-RS-C-01-02 con fecha de actualización de Diciembre de 2022 y dentro de los subproceso se tiene cargado el  proceso de gestión de riesgo individual, y contiene procedimientos de las"&amp;" rutas de atención se tiene soportes de los documentos en Almera.")</f>
        <v>Se realiza validación de soporte de actualización de la caracterización MI-RS-C-01-02 con fecha de actualización de Diciembre de 2022 y dentro de los subproceso se tiene cargado el  proceso de gestión de riesgo individual, y contiene procedimientos de las rutas de atención se tiene soportes de los documentos en Almera.</v>
      </c>
      <c r="F82" s="0" t="str">
        <f aca="false">IFERROR(__xludf.dummyfunction("""COMPUTED_VALUE"""),"Completo")</f>
        <v>Completo</v>
      </c>
      <c r="G82" s="0" t="str">
        <f aca="false">IFERROR(__xludf.dummyfunction("""COMPUTED_VALUE"""),"Sí")</f>
        <v>Sí</v>
      </c>
    </row>
    <row r="83" customFormat="false" ht="14.25" hidden="false" customHeight="false" outlineLevel="0" collapsed="false">
      <c r="A83" s="18" t="str">
        <f aca="false">IFERROR(MID(D83,1,FIND("|",D83)-1)&amp;"-"&amp;C83,"")</f>
        <v>AICI202116-5-1-4</v>
      </c>
      <c r="B83" s="19" t="n">
        <f aca="false">IFERROR(__xludf.dummyfunction("""COMPUTED_VALUE"""),45028)</f>
        <v>45028</v>
      </c>
      <c r="C83" s="0" t="n">
        <f aca="false">IFERROR(__xludf.dummyfunction("""COMPUTED_VALUE"""),4)</f>
        <v>4</v>
      </c>
      <c r="D83" s="0" t="str">
        <f aca="false">IFERROR(__xludf.dummyfunction("""COMPUTED_VALUE"""),"AICI202116-5-1| Actualizar los Instructivos correspondientes a la ejecución de actividades de Todas RIAS según normatividad vigente (10/feb/2022 - 31/may/2022)")</f>
        <v>AICI202116-5-1| Actualizar los Instructivos correspondientes a la ejecución de actividades de Todas RIAS según normatividad vigente (10/feb/2022 - 31/may/2022)</v>
      </c>
      <c r="E83" s="0" t="str">
        <f aca="false">IFERROR(__xludf.dummyfunction("""COMPUTED_VALUE"""),"Se evidencia la actualización del documento MI-RS-PR-02-03 RUTA INTEGRAL DE ATENCIÓN EN SALUD DE ENFERMEDAD RESPIRATORIA CRÓNICA se anexan pantallazos de carga en Almera
Se informa que desde la RIA AATV, con fechas de envío a Calidad a la fecha el documen"&amp;"to aun esta en revisión por parte de la Dra. Jeanette Quemba por lo que la acción continua atrasada.")</f>
        <v>Se evidencia la actualización del documento MI-RS-PR-02-03 RUTA INTEGRAL DE ATENCIÓN EN SALUD DE ENFERMEDAD RESPIRATORIA CRÓNICA se anexan pantallazos de carga en Almera
Se informa que desde la RIA AATV, con fechas de envío a Calidad a la fecha el documento aun esta en revisión por parte de la Dra. Jeanette Quemba por lo que la acción continua atrasada.</v>
      </c>
      <c r="F83" s="0" t="str">
        <f aca="false">IFERROR(__xludf.dummyfunction("""COMPUTED_VALUE"""),"Atrasado")</f>
        <v>Atrasado</v>
      </c>
    </row>
    <row r="84" customFormat="false" ht="14.25" hidden="false" customHeight="false" outlineLevel="0" collapsed="false">
      <c r="A84" s="18" t="str">
        <f aca="false">IFERROR(MID(D84,1,FIND("|",D84)-1)&amp;"-"&amp;C84,"")</f>
        <v>AICI202116-6-1-4</v>
      </c>
      <c r="B84" s="19" t="n">
        <f aca="false">IFERROR(__xludf.dummyfunction("""COMPUTED_VALUE"""),45028)</f>
        <v>45028</v>
      </c>
      <c r="C84" s="0" t="n">
        <f aca="false">IFERROR(__xludf.dummyfunction("""COMPUTED_VALUE"""),4)</f>
        <v>4</v>
      </c>
      <c r="D84" s="0" t="str">
        <f aca="false">IFERROR(__xludf.dummyfunction("""COMPUTED_VALUE"""),"AICI202116-6-1| Actualizar los documentos de RIAS incluyendo manejo de bases de datos, entrega actualizada de estas a las unidades de atención (01/mar/2022 - 30/jun/2022)")</f>
        <v>AICI202116-6-1| Actualizar los documentos de RIAS incluyendo manejo de bases de datos, entrega actualizada de estas a las unidades de atención (01/mar/2022 - 30/jun/2022)</v>
      </c>
      <c r="E84" s="0" t="str">
        <f aca="false">IFERROR(__xludf.dummyfunction("""COMPUTED_VALUE"""),"Se tiene soporte pantallazo de cargue en Almera de cargue del documento MI-RS-I-27-03-Asignacion, Adscripción, Inscripción y Adherencia de la población objeto a las unidades y hospitales, en el cual se describe el proceso de adscripción, inscripción, as"&amp;"ignación y adherencia de las RIAS, también se define la forma de georreferenciar, y el cálculo para estos indicadores. teniendo en cuenta que al revisar el documento cargado en Almera se describe el proceso metodológico que se realiza con las bases de dat"&amp;"os enviadas por la EAPB para realizar el proceso de geo codificación y Georreferenciación y los pasos a seguir ( no se puede descargar el archivo para dejar el soporte)")</f>
        <v>Se tiene soporte pantallazo de cargue en Almera de cargue del documento MI-RS-I-27-03-Asignacion, Adscripción, Inscripción y Adherencia de la población objeto a las unidades y hospitales, en el cual se describe el proceso de adscripción, inscripción, asignación y adherencia de las RIAS, también se define la forma de georreferenciar, y el cálculo para estos indicadores. teniendo en cuenta que al revisar el documento cargado en Almera se describe el proceso metodológico que se realiza con las bases de datos enviadas por la EAPB para realizar el proceso de geo codificación y Georreferenciación y los pasos a seguir ( no se puede descargar el archivo para dejar el soporte)</v>
      </c>
      <c r="F84" s="0" t="str">
        <f aca="false">IFERROR(__xludf.dummyfunction("""COMPUTED_VALUE"""),"Completo")</f>
        <v>Completo</v>
      </c>
      <c r="G84" s="0" t="str">
        <f aca="false">IFERROR(__xludf.dummyfunction("""COMPUTED_VALUE"""),"Sí")</f>
        <v>Sí</v>
      </c>
    </row>
    <row r="85" customFormat="false" ht="14.25" hidden="false" customHeight="false" outlineLevel="0" collapsed="false">
      <c r="A85" s="18" t="str">
        <f aca="false">IFERROR(MID(D85,1,FIND("|",D85)-1)&amp;"-"&amp;C85,"")</f>
        <v>AICI202116-6-2-4</v>
      </c>
      <c r="B85" s="19" t="n">
        <f aca="false">IFERROR(__xludf.dummyfunction("""COMPUTED_VALUE"""),45028)</f>
        <v>45028</v>
      </c>
      <c r="C85" s="0" t="n">
        <f aca="false">IFERROR(__xludf.dummyfunction("""COMPUTED_VALUE"""),4)</f>
        <v>4</v>
      </c>
      <c r="D85" s="0" t="str">
        <f aca="false">IFERROR(__xludf.dummyfunction("""COMPUTED_VALUE"""),"AICI202116-6-2| Socializar los documentos de RIAS, mencionados en la acción anterior al 95% de cada uno de los referentes de las unidades y de los técnicos y … (01/mar/2022 - 30/jun/2022)")</f>
        <v>AICI202116-6-2| Socializar los documentos de RIAS, mencionados en la acción anterior al 95% de cada uno de los referentes de las unidades y de los técnicos y … (01/mar/2022 - 30/jun/2022)</v>
      </c>
      <c r="E85" s="0" t="str">
        <f aca="false">IFERROR(__xludf.dummyfunction("""COMPUTED_VALUE"""),"Se tiene soportes de socialización del documento de  asignación, Adscripción y adherencia de la población  así:  1. Se anexan pantallazo de correos de socialización MI-RS-I-27-03 de ambulatorios 2. Se anexa acta de socialización con directores de Ambulato"&amp;"rios, Hospitalarios, complementarios, Urgencias y gestión del Riesgo  3. Se anexan correos de socialización de personal de diferentes puntos de atención y algunos equipos operativos que realizan las actividades de las RIAS")</f>
        <v>Se tiene soportes de socialización del documento de  asignación, Adscripción y adherencia de la población  así:  1. Se anexan pantallazo de correos de socialización MI-RS-I-27-03 de ambulatorios 2. Se anexa acta de socialización con directores de Ambulatorios, Hospitalarios, complementarios, Urgencias y gestión del Riesgo  3. Se anexan correos de socialización de personal de diferentes puntos de atención y algunos equipos operativos que realizan las actividades de las RIAS</v>
      </c>
      <c r="F85" s="0" t="str">
        <f aca="false">IFERROR(__xludf.dummyfunction("""COMPUTED_VALUE"""),"Completo")</f>
        <v>Completo</v>
      </c>
      <c r="G85" s="0" t="str">
        <f aca="false">IFERROR(__xludf.dummyfunction("""COMPUTED_VALUE"""),"Sí")</f>
        <v>Sí</v>
      </c>
    </row>
    <row r="86" customFormat="false" ht="14.25" hidden="false" customHeight="false" outlineLevel="0" collapsed="false">
      <c r="A86" s="18" t="str">
        <f aca="false">IFERROR(MID(D86,1,FIND("|",D86)-1)&amp;"-"&amp;C86,"")</f>
        <v>AICI202116-7-1-4</v>
      </c>
      <c r="B86" s="19" t="n">
        <f aca="false">IFERROR(__xludf.dummyfunction("""COMPUTED_VALUE"""),45028)</f>
        <v>45028</v>
      </c>
      <c r="C86" s="0" t="n">
        <f aca="false">IFERROR(__xludf.dummyfunction("""COMPUTED_VALUE"""),4)</f>
        <v>4</v>
      </c>
      <c r="D86" s="0" t="str">
        <f aca="false">IFERROR(__xludf.dummyfunction("""COMPUTED_VALUE"""),"AICI202116-7-1| Definir el talento humano en la USS requerido para el seguimiento de la poblacion de todas las RIAS (11/feb/2022 - 31/dic/2022)")</f>
        <v>AICI202116-7-1| Definir el talento humano en la USS requerido para el seguimiento de la poblacion de todas las RIAS (11/feb/2022 - 31/dic/2022)</v>
      </c>
      <c r="E86" s="0" t="str">
        <f aca="false">IFERROR(__xludf.dummyfunction("""COMPUTED_VALUE"""),"Se revisan los soportes aportados por el proceso y se encuentran :
Acta de seguimiento de talento humano con las otras direcciones, donde se define el talento humano asignado para las RIAS personal que va a realizar la gestión y seguimiento de las bases d"&amp;"e datos diferentes a las RIAS
Pantallazo de correos de socializacion MI-RS-I-27-03 de ambulatorios, alli se da cuenta del proceso de gestion de las bases de datos
Acta de socializacion con directores
Soporte de correo de soclializacion de dirección de amb"&amp;"ulatorios
Matrices en Excel de programación de TH con los tiempos destinados desde la Dirección de ambulatorios")</f>
        <v>Se revisan los soportes aportados por el proceso y se encuentran :
Acta de seguimiento de talento humano con las otras direcciones, donde se define el talento humano asignado para las RIAS personal que va a realizar la gestión y seguimiento de las bases de datos diferentes a las RIAS
Pantallazo de correos de socializacion MI-RS-I-27-03 de ambulatorios, alli se da cuenta del proceso de gestion de las bases de datos
Acta de socializacion con directores
Soporte de correo de soclializacion de dirección de ambulatorios
Matrices en Excel de programación de TH con los tiempos destinados desde la Dirección de ambulatorios</v>
      </c>
      <c r="F86" s="0" t="str">
        <f aca="false">IFERROR(__xludf.dummyfunction("""COMPUTED_VALUE"""),"Completo")</f>
        <v>Completo</v>
      </c>
      <c r="G86" s="0" t="str">
        <f aca="false">IFERROR(__xludf.dummyfunction("""COMPUTED_VALUE"""),"Sí")</f>
        <v>Sí</v>
      </c>
    </row>
    <row r="87" customFormat="false" ht="14.25" hidden="false" customHeight="false" outlineLevel="0" collapsed="false">
      <c r="A87" s="18" t="str">
        <f aca="false">IFERROR(MID(D87,1,FIND("|",D87)-1)&amp;"-"&amp;C87,"")</f>
        <v>AICI202116-7-2-4</v>
      </c>
      <c r="B87" s="19" t="n">
        <f aca="false">IFERROR(__xludf.dummyfunction("""COMPUTED_VALUE"""),45028)</f>
        <v>45028</v>
      </c>
      <c r="C87" s="0" t="n">
        <f aca="false">IFERROR(__xludf.dummyfunction("""COMPUTED_VALUE"""),4)</f>
        <v>4</v>
      </c>
      <c r="D87" s="0" t="str">
        <f aca="false">IFERROR(__xludf.dummyfunction("""COMPUTED_VALUE"""),"AICI202116-7-2| Hacer Seguimiento de la asignación/contratación del personal requerido para el funcionamiento de las RIAS desde cada una de las Direcciones que … (11/feb/2022 - 31/dic/2022)")</f>
        <v>AICI202116-7-2| Hacer Seguimiento de la asignación/contratación del personal requerido para el funcionamiento de las RIAS desde cada una de las Direcciones que … (11/feb/2022 - 31/dic/2022)</v>
      </c>
      <c r="E87" s="0" t="str">
        <f aca="false">IFERROR(__xludf.dummyfunction("""COMPUTED_VALUE"""),"Se encuentra como soporte Acta de seguimeinto de contratación de talento humano con las direcciones de Ambulatoríos, complementarios, hospitalarios, urgencias y gestión del riesgo
No se observa específicamente el procedimiento de como se realiza el seguim"&amp;"iento de la actividad, en el acta de soporte se trata específicamente el tema de la contratación de talento humano requerido para realizar las actividades de las rutas pero no se observa ninguna gestión específica de seguimiento, ni un resultado, conclusi"&amp;"ón  favorable para el tema. Como lo indica la causa identificada en el hallazgo, por lo tanto la acción está atrasada ")</f>
        <v>Se encuentra como soporte Acta de seguimeinto de contratación de talento humano con las direcciones de Ambulatoríos, complementarios, hospitalarios, urgencias y gestión del riesgo
No se observa específicamente el procedimiento de como se realiza el seguimiento de la actividad, en el acta de soporte se trata específicamente el tema de la contratación de talento humano requerido para realizar las actividades de las rutas pero no se observa ninguna gestión específica de seguimiento, ni un resultado, conclusión  favorable para el tema. Como lo indica la causa identificada en el hallazgo, por lo tanto la acción está atrasada </v>
      </c>
      <c r="F87" s="0" t="str">
        <f aca="false">IFERROR(__xludf.dummyfunction("""COMPUTED_VALUE"""),"Atrasado")</f>
        <v>Atrasado</v>
      </c>
    </row>
    <row r="88" customFormat="false" ht="14.25" hidden="false" customHeight="false" outlineLevel="0" collapsed="false">
      <c r="A88" s="18" t="str">
        <f aca="false">IFERROR(MID(D88,1,FIND("|",D88)-1)&amp;"-"&amp;C88,"")</f>
        <v>AICI202116-8-1-4</v>
      </c>
      <c r="B88" s="19" t="n">
        <f aca="false">IFERROR(__xludf.dummyfunction("""COMPUTED_VALUE"""),45028)</f>
        <v>45028</v>
      </c>
      <c r="C88" s="0" t="n">
        <f aca="false">IFERROR(__xludf.dummyfunction("""COMPUTED_VALUE"""),4)</f>
        <v>4</v>
      </c>
      <c r="D88" s="0" t="str">
        <f aca="false">IFERROR(__xludf.dummyfunction("""COMPUTED_VALUE"""),"AICI202116-8-1| Socializar al 80% con una meta de 400 colaboradores involucrados en la implementacion del proceso de captacion y demanda inducida de los usuarios … (01/mar/2022 - 30/sept/2022)")</f>
        <v>AICI202116-8-1| Socializar al 80% con una meta de 400 colaboradores involucrados en la implementacion del proceso de captacion y demanda inducida de los usuarios … (01/mar/2022 - 30/sept/2022)</v>
      </c>
      <c r="E88" s="0" t="str">
        <f aca="false">IFERROR(__xludf.dummyfunction("""COMPUTED_VALUE"""),"Se cumple con la meta de 400 personas solicitada por la acción, donde se socializa el proceso de demanda inducida con de participacion de 50 personas adicionales donde  involucran  talento humano relacionado con RIAS de  Alteraciones nutricionales 
1, Se "&amp;"anexa formato estandarizado de demanda inducida de las RIAS por curso vida, MI-GA-F-71-01, MI-GA-F-71-01, MI-GA-F-72-01, MI-GA-F-73-01 , MI-GA-F-74
2. Se anexa  acta de  socializacion de formatos de demanda inducida al th de las RIAS de Promocion y Manten"&amp;"imiento y Materno Perinatal
3. Se soporta archivo de pre y post-test de la jornada de socialización")</f>
        <v>Se cumple con la meta de 400 personas solicitada por la acción, donde se socializa el proceso de demanda inducida con de participacion de 50 personas adicionales donde  involucran  talento humano relacionado con RIAS de  Alteraciones nutricionales 
1, Se anexa formato estandarizado de demanda inducida de las RIAS por curso vida, MI-GA-F-71-01, MI-GA-F-71-01, MI-GA-F-72-01, MI-GA-F-73-01 , MI-GA-F-74
2. Se anexa  acta de  socializacion de formatos de demanda inducida al th de las RIAS de Promocion y Mantenimiento y Materno Perinatal
3. Se soporta archivo de pre y post-test de la jornada de socialización</v>
      </c>
      <c r="F88" s="0" t="str">
        <f aca="false">IFERROR(__xludf.dummyfunction("""COMPUTED_VALUE"""),"Completo")</f>
        <v>Completo</v>
      </c>
      <c r="G88" s="0" t="str">
        <f aca="false">IFERROR(__xludf.dummyfunction("""COMPUTED_VALUE"""),"Sí")</f>
        <v>Sí</v>
      </c>
    </row>
    <row r="89" customFormat="false" ht="14.25" hidden="false" customHeight="false" outlineLevel="0" collapsed="false">
      <c r="A89" s="18" t="str">
        <f aca="false">IFERROR(MID(D89,1,FIND("|",D89)-1)&amp;"-"&amp;C89,"")</f>
        <v>AICI202116-9-1-4</v>
      </c>
      <c r="B89" s="19" t="n">
        <f aca="false">IFERROR(__xludf.dummyfunction("""COMPUTED_VALUE"""),45028)</f>
        <v>45028</v>
      </c>
      <c r="C89" s="0" t="n">
        <f aca="false">IFERROR(__xludf.dummyfunction("""COMPUTED_VALUE"""),4)</f>
        <v>4</v>
      </c>
      <c r="D89" s="0" t="str">
        <f aca="false">IFERROR(__xludf.dummyfunction("""COMPUTED_VALUE"""),"AICI202116-9-1| Elaborar documento de gestion de la informacion de RIAS que incluya la estandarización de la gestión de las bases de datos de RIAS, sus puntos… (01/mar/2022 - 30/sept/2022)")</f>
        <v>AICI202116-9-1| Elaborar documento de gestion de la informacion de RIAS que incluya la estandarización de la gestión de las bases de datos de RIAS, sus puntos… (01/mar/2022 - 30/sept/2022)</v>
      </c>
      <c r="E89" s="0" t="str">
        <f aca="false">IFERROR(__xludf.dummyfunction("""COMPUTED_VALUE"""),"Se tiene soporte pantallazo de cargue en Almera de cargue del documento MI-RS-I-27-03-Asignacion, Adscripción, Inscripción y Adherencia de la población objeto a las unidades y hospitales, en el cual se describe el proceso de adscripción, inscripción, as"&amp;"ignación y adherencia de las RIAS, también se define la forma de georreferenciar, y el cálculo para estos indicadores. teniendo en cuenta que al revisar el documento cargado en Almera se describe el proceso metodológico que se realiza con las bases de dat"&amp;"os enviadas por la EAPB para realizar el proceso de geo codificación y Georreferenciación y los pasos a seguir ( no se puede descargar el archivo para dejar el soporte)")</f>
        <v>Se tiene soporte pantallazo de cargue en Almera de cargue del documento MI-RS-I-27-03-Asignacion, Adscripción, Inscripción y Adherencia de la población objeto a las unidades y hospitales, en el cual se describe el proceso de adscripción, inscripción, asignación y adherencia de las RIAS, también se define la forma de georreferenciar, y el cálculo para estos indicadores. teniendo en cuenta que al revisar el documento cargado en Almera se describe el proceso metodológico que se realiza con las bases de datos enviadas por la EAPB para realizar el proceso de geo codificación y Georreferenciación y los pasos a seguir ( no se puede descargar el archivo para dejar el soporte)</v>
      </c>
      <c r="F89" s="0" t="str">
        <f aca="false">IFERROR(__xludf.dummyfunction("""COMPUTED_VALUE"""),"Completo")</f>
        <v>Completo</v>
      </c>
      <c r="G89" s="0" t="str">
        <f aca="false">IFERROR(__xludf.dummyfunction("""COMPUTED_VALUE"""),"Sí")</f>
        <v>Sí</v>
      </c>
    </row>
    <row r="90" customFormat="false" ht="14.25" hidden="false" customHeight="false" outlineLevel="0" collapsed="false">
      <c r="A90" s="18" t="str">
        <f aca="false">IFERROR(MID(D90,1,FIND("|",D90)-1)&amp;"-"&amp;C90,"")</f>
        <v>AICI202116-9-2-4</v>
      </c>
      <c r="B90" s="19" t="n">
        <f aca="false">IFERROR(__xludf.dummyfunction("""COMPUTED_VALUE"""),45028)</f>
        <v>45028</v>
      </c>
      <c r="C90" s="0" t="n">
        <f aca="false">IFERROR(__xludf.dummyfunction("""COMPUTED_VALUE"""),4)</f>
        <v>4</v>
      </c>
      <c r="D90" s="0" t="str">
        <f aca="false">IFERROR(__xludf.dummyfunction("""COMPUTED_VALUE"""),"AICI202116-9-2| Socializar los documentos de RIAS, mencionados en la acción anterior al 95% de cada uno de los referentes de las unidades con una meta de 100 … (01/mar/2022 - 30/sept/2022)")</f>
        <v>AICI202116-9-2| Socializar los documentos de RIAS, mencionados en la acción anterior al 95% de cada uno de los referentes de las unidades con una meta de 100 … (01/mar/2022 - 30/sept/2022)</v>
      </c>
      <c r="E90" s="0" t="str">
        <f aca="false">IFERROR(__xludf.dummyfunction("""COMPUTED_VALUE"""),"Se tiene soportes de socialización del documento de  asignación, Adscripción y adherencia de la población  así:  1. Se anexan pantallazo de correos de socialización MI-RS-I-27-03 de ambulatorios 2. Se anexa acta de socialización con directores de Ambulato"&amp;"rios, Hospitalarios, complementarios, Urgencias y gestión del Riesgo  3. Se anexan correos de socialización de personal de diferentes puntos de atención y algunos equipos operativos que realizan las actividades de las RIAS ")</f>
        <v>Se tiene soportes de socialización del documento de  asignación, Adscripción y adherencia de la población  así:  1. Se anexan pantallazo de correos de socialización MI-RS-I-27-03 de ambulatorios 2. Se anexa acta de socialización con directores de Ambulatorios, Hospitalarios, complementarios, Urgencias y gestión del Riesgo  3. Se anexan correos de socialización de personal de diferentes puntos de atención y algunos equipos operativos que realizan las actividades de las RIAS </v>
      </c>
      <c r="F90" s="0" t="str">
        <f aca="false">IFERROR(__xludf.dummyfunction("""COMPUTED_VALUE"""),"Completo")</f>
        <v>Completo</v>
      </c>
      <c r="G90" s="0" t="str">
        <f aca="false">IFERROR(__xludf.dummyfunction("""COMPUTED_VALUE"""),"Sí")</f>
        <v>Sí</v>
      </c>
    </row>
    <row r="91" customFormat="false" ht="14.25" hidden="false" customHeight="false" outlineLevel="0" collapsed="false">
      <c r="A91" s="18" t="str">
        <f aca="false">IFERROR(MID(D91,1,FIND("|",D91)-1)&amp;"-"&amp;C91,"")</f>
        <v>AICI202116-11-1-4</v>
      </c>
      <c r="B91" s="19" t="n">
        <f aca="false">IFERROR(__xludf.dummyfunction("""COMPUTED_VALUE"""),45028)</f>
        <v>45028</v>
      </c>
      <c r="C91" s="0" t="n">
        <f aca="false">IFERROR(__xludf.dummyfunction("""COMPUTED_VALUE"""),4)</f>
        <v>4</v>
      </c>
      <c r="D91" s="0" t="str">
        <f aca="false">IFERROR(__xludf.dummyfunction("""COMPUTED_VALUE"""),"AICI202116-11-1| Definir el procedimiento de la RPYMS la capacidad instalada para la operación (estructura tactica y operativa) (01/mar/2022 - 30/nov/2022)")</f>
        <v>AICI202116-11-1| Definir el procedimiento de la RPYMS la capacidad instalada para la operación (estructura tactica y operativa) (01/mar/2022 - 30/nov/2022)</v>
      </c>
      <c r="E91" s="0" t="str">
        <f aca="false">IFERROR(__xludf.dummyfunction("""COMPUTED_VALUE"""),"Se Verifican los soportes y se encuentra  soporte del organigrama de la RIA Promoción y mantenimiento PYMS, así mismo se observa el acta de seguimiento de contratación de Talento humano del 20 de enero de 2023 con las direcciones relacionadas  donde se ob"&amp;"serva el personal asignado a la Ruta de PYMS ( capacidad instalada) y se presenta el documento MI-RS-I-72-01-Capacidad instalada rutas integrales de atención en salud.pdf el cual se encuentra publicado en Almera. donde  se encuentra información sobre el t"&amp;"ema.")</f>
        <v>Se Verifican los soportes y se encuentra  soporte del organigrama de la RIA Promoción y mantenimiento PYMS, así mismo se observa el acta de seguimiento de contratación de Talento humano del 20 de enero de 2023 con las direcciones relacionadas  donde se observa el personal asignado a la Ruta de PYMS ( capacidad instalada) y se presenta el documento MI-RS-I-72-01-Capacidad instalada rutas integrales de atención en salud.pdf el cual se encuentra publicado en Almera. donde  se encuentra información sobre el tema.</v>
      </c>
      <c r="F91" s="0" t="str">
        <f aca="false">IFERROR(__xludf.dummyfunction("""COMPUTED_VALUE"""),"Completo")</f>
        <v>Completo</v>
      </c>
      <c r="G91" s="0" t="str">
        <f aca="false">IFERROR(__xludf.dummyfunction("""COMPUTED_VALUE"""),"Sí")</f>
        <v>Sí</v>
      </c>
    </row>
    <row r="92" customFormat="false" ht="14.25" hidden="false" customHeight="false" outlineLevel="0" collapsed="false">
      <c r="A92" s="18" t="str">
        <f aca="false">IFERROR(MID(D92,1,FIND("|",D92)-1)&amp;"-"&amp;C92,"")</f>
        <v>AICI202116-12-1-4</v>
      </c>
      <c r="B92" s="19" t="n">
        <f aca="false">IFERROR(__xludf.dummyfunction("""COMPUTED_VALUE"""),45028)</f>
        <v>45028</v>
      </c>
      <c r="C92" s="0" t="n">
        <f aca="false">IFERROR(__xludf.dummyfunction("""COMPUTED_VALUE"""),4)</f>
        <v>4</v>
      </c>
      <c r="D92" s="0" t="str">
        <f aca="false">IFERROR(__xludf.dummyfunction("""COMPUTED_VALUE"""),"AICI202116-12-1| Actualizar los documentos de la Ruta PYM, adicionando item de: Definir la capacidad instalada y talento humano de manera coordinada entre las … (01/mar/2022 - 30/nov/2022)")</f>
        <v>AICI202116-12-1| Actualizar los documentos de la Ruta PYM, adicionando item de: Definir la capacidad instalada y talento humano de manera coordinada entre las … (01/mar/2022 - 30/nov/2022)</v>
      </c>
      <c r="E92" s="0" t="str">
        <f aca="false">IFERROR(__xludf.dummyfunction("""COMPUTED_VALUE"""),"Se tiene soportes de socialización del documento de  asignación, Adscripción y adherencia de la población  así:  1. Se anexan pantallazo de correos de socialización MI-RS-I-27-03 de ambulatorios 2. Se anexa acta de socialización con directores de Ambulato"&amp;"rios, Hospitalarios, complementarios, Urgencias y gestión del Riesgo  3. Se anexan correos de socialización de personal de diferentes puntos de atención y algunos equipos operativos que realizan las actividades de las RIAS ")</f>
        <v>Se tiene soportes de socialización del documento de  asignación, Adscripción y adherencia de la población  así:  1. Se anexan pantallazo de correos de socialización MI-RS-I-27-03 de ambulatorios 2. Se anexa acta de socialización con directores de Ambulatorios, Hospitalarios, complementarios, Urgencias y gestión del Riesgo  3. Se anexan correos de socialización de personal de diferentes puntos de atención y algunos equipos operativos que realizan las actividades de las RIAS </v>
      </c>
      <c r="F92" s="0" t="str">
        <f aca="false">IFERROR(__xludf.dummyfunction("""COMPUTED_VALUE"""),"Completo")</f>
        <v>Completo</v>
      </c>
      <c r="G92" s="0" t="str">
        <f aca="false">IFERROR(__xludf.dummyfunction("""COMPUTED_VALUE"""),"Sí")</f>
        <v>Sí</v>
      </c>
    </row>
    <row r="93" customFormat="false" ht="14.25" hidden="false" customHeight="false" outlineLevel="0" collapsed="false">
      <c r="A93" s="18" t="str">
        <f aca="false">IFERROR(MID(D93,1,FIND("|",D93)-1)&amp;"-"&amp;C93,"")</f>
        <v>AICI202116-14-1-4</v>
      </c>
      <c r="B93" s="19" t="n">
        <f aca="false">IFERROR(__xludf.dummyfunction("""COMPUTED_VALUE"""),45028)</f>
        <v>45028</v>
      </c>
      <c r="C93" s="0" t="n">
        <f aca="false">IFERROR(__xludf.dummyfunction("""COMPUTED_VALUE"""),4)</f>
        <v>4</v>
      </c>
      <c r="D93" s="0" t="str">
        <f aca="false">IFERROR(__xludf.dummyfunction("""COMPUTED_VALUE"""),"AICI202116-14-1| Actualizar documentos de RIA PYMS incluyendo manejo de bases de datos, entrega actualizada de estas a las unidades de atención, Mecanismos de … (01/mar/2022 - 30/jun/2022)")</f>
        <v>AICI202116-14-1| Actualizar documentos de RIA PYMS incluyendo manejo de bases de datos, entrega actualizada de estas a las unidades de atención, Mecanismos de … (01/mar/2022 - 30/jun/2022)</v>
      </c>
      <c r="E93" s="0" t="str">
        <f aca="false">IFERROR(__xludf.dummyfunction("""COMPUTED_VALUE"""),"Se tiene soporte pantallazo de cargue en Almera de cargue del documento MI-RS-I-27-03-Asignacion, Adscripción, Inscripción y Adherencia de la población objeto a las unidades y hospitales, en el cual se describe el proceso de adscripción, inscripción, as"&amp;"ignación y adherencia de las RIAS, también se define la forma de georreferenciar, y el cálculo para estos indicadores. teniendo en cuenta que al revisar el documento cargado en Almera se describe el proceso metodológico que se realiza con las bases de dat"&amp;"os enviadas por la EAPB para realizar el proceso de geo codificación y Georreferenciación y los pasos a seguir ( no se puede descargar el archivo para dejar el soporte)")</f>
        <v>Se tiene soporte pantallazo de cargue en Almera de cargue del documento MI-RS-I-27-03-Asignacion, Adscripción, Inscripción y Adherencia de la población objeto a las unidades y hospitales, en el cual se describe el proceso de adscripción, inscripción, asignación y adherencia de las RIAS, también se define la forma de georreferenciar, y el cálculo para estos indicadores. teniendo en cuenta que al revisar el documento cargado en Almera se describe el proceso metodológico que se realiza con las bases de datos enviadas por la EAPB para realizar el proceso de geo codificación y Georreferenciación y los pasos a seguir ( no se puede descargar el archivo para dejar el soporte)</v>
      </c>
      <c r="F93" s="0" t="str">
        <f aca="false">IFERROR(__xludf.dummyfunction("""COMPUTED_VALUE"""),"Completo")</f>
        <v>Completo</v>
      </c>
      <c r="G93" s="0" t="str">
        <f aca="false">IFERROR(__xludf.dummyfunction("""COMPUTED_VALUE"""),"Sí")</f>
        <v>Sí</v>
      </c>
    </row>
    <row r="94" customFormat="false" ht="14.25" hidden="false" customHeight="false" outlineLevel="0" collapsed="false">
      <c r="A94" s="18" t="str">
        <f aca="false">IFERROR(MID(D94,1,FIND("|",D94)-1)&amp;"-"&amp;C94,"")</f>
        <v>AICI202116-14-1-4</v>
      </c>
      <c r="B94" s="19" t="n">
        <f aca="false">IFERROR(__xludf.dummyfunction("""COMPUTED_VALUE"""),45028)</f>
        <v>45028</v>
      </c>
      <c r="C94" s="0" t="n">
        <f aca="false">IFERROR(__xludf.dummyfunction("""COMPUTED_VALUE"""),4)</f>
        <v>4</v>
      </c>
      <c r="D94" s="0" t="str">
        <f aca="false">IFERROR(__xludf.dummyfunction("""COMPUTED_VALUE"""),"AICI202116-14-1| Actualizar documentos de RIA PYMS incluyendo manejo de bases de datos, entrega actualizada de estas a las unidades de atención, Mecanismos de … (01/mar/2022 - 30/jun/2022)")</f>
        <v>AICI202116-14-1| Actualizar documentos de RIA PYMS incluyendo manejo de bases de datos, entrega actualizada de estas a las unidades de atención, Mecanismos de … (01/mar/2022 - 30/jun/2022)</v>
      </c>
      <c r="E94" s="0" t="str">
        <f aca="false">IFERROR(__xludf.dummyfunction("""COMPUTED_VALUE"""),"Se tiene soporte pantallazo de cargue en Almera de cargue del documento MI-RS-I-27-03-Asignacion, Adscripción, Inscripción y Adherencia de la población objeto a las unidades y hospitales, en el cual se describe el proceso de adscripción, inscripción, as"&amp;"ignación y adherencia de las RIAS, también se define la forma de georreferenciar, y el cálculo para estos indicadores. teniendo en cuenta que al revisar el documento cargado en Almera se describe el proceso metodológico que se realiza con las bases de dat"&amp;"os enviadas por la EAPB para realizar el proceso de geo codificación y Georreferenciación y los pasos a seguir ( no se puede descargar el archivo para dejar el soporte)")</f>
        <v>Se tiene soporte pantallazo de cargue en Almera de cargue del documento MI-RS-I-27-03-Asignacion, Adscripción, Inscripción y Adherencia de la población objeto a las unidades y hospitales, en el cual se describe el proceso de adscripción, inscripción, asignación y adherencia de las RIAS, también se define la forma de georreferenciar, y el cálculo para estos indicadores. teniendo en cuenta que al revisar el documento cargado en Almera se describe el proceso metodológico que se realiza con las bases de datos enviadas por la EAPB para realizar el proceso de geo codificación y Georreferenciación y los pasos a seguir ( no se puede descargar el archivo para dejar el soporte)</v>
      </c>
      <c r="F94" s="0" t="str">
        <f aca="false">IFERROR(__xludf.dummyfunction("""COMPUTED_VALUE"""),"Completo")</f>
        <v>Completo</v>
      </c>
      <c r="G94" s="0" t="str">
        <f aca="false">IFERROR(__xludf.dummyfunction("""COMPUTED_VALUE"""),"Sí")</f>
        <v>Sí</v>
      </c>
    </row>
    <row r="95" customFormat="false" ht="14.25" hidden="false" customHeight="false" outlineLevel="0" collapsed="false">
      <c r="A95" s="18" t="str">
        <f aca="false">IFERROR(MID(D95,1,FIND("|",D95)-1)&amp;"-"&amp;C95,"")</f>
        <v>AICI202116-14-2-4</v>
      </c>
      <c r="B95" s="19" t="n">
        <f aca="false">IFERROR(__xludf.dummyfunction("""COMPUTED_VALUE"""),45028)</f>
        <v>45028</v>
      </c>
      <c r="C95" s="0" t="n">
        <f aca="false">IFERROR(__xludf.dummyfunction("""COMPUTED_VALUE"""),4)</f>
        <v>4</v>
      </c>
      <c r="D95" s="0" t="str">
        <f aca="false">IFERROR(__xludf.dummyfunction("""COMPUTED_VALUE"""),"AICI202116-14-2| Socializar al 95% del personal de las unidades que operativizan el proceso la adscripcion a la unidad y a las RIAS de la poblacion asignada: 10 … (01/mar/2022 - 30/jun/2022)")</f>
        <v>AICI202116-14-2| Socializar al 95% del personal de las unidades que operativizan el proceso la adscripcion a la unidad y a las RIAS de la poblacion asignada: 10 … (01/mar/2022 - 30/jun/2022)</v>
      </c>
      <c r="E95" s="0" t="str">
        <f aca="false">IFERROR(__xludf.dummyfunction("""COMPUTED_VALUE"""),"Se tiene soportes de socialización del documento de  asignación, Adscripción y adherencia de la población  así:  1. Se anexan pantallazo de correos de socialización MI-RS-I-27-03 de ambulatorios 2. Se anexa acta de socialización con directores de Ambulato"&amp;"rios, Hospitalarios, complementarios, Urgencias y gestión del Riesgo  3. Se anexan correos de socialización de personal de diferentes puntos de atención (Simón Bolívar, y algunos equipos operativos que realizan las actividades de las RIAS ")</f>
        <v>Se tiene soportes de socialización del documento de  asignación, Adscripción y adherencia de la población  así:  1. Se anexan pantallazo de correos de socialización MI-RS-I-27-03 de ambulatorios 2. Se anexa acta de socialización con directores de Ambulatorios, Hospitalarios, complementarios, Urgencias y gestión del Riesgo  3. Se anexan correos de socialización de personal de diferentes puntos de atención (Simón Bolívar, y algunos equipos operativos que realizan las actividades de las RIAS </v>
      </c>
      <c r="F95" s="0" t="str">
        <f aca="false">IFERROR(__xludf.dummyfunction("""COMPUTED_VALUE"""),"Completo")</f>
        <v>Completo</v>
      </c>
      <c r="G95" s="0" t="str">
        <f aca="false">IFERROR(__xludf.dummyfunction("""COMPUTED_VALUE"""),"Sí")</f>
        <v>Sí</v>
      </c>
    </row>
    <row r="96" customFormat="false" ht="14.25" hidden="false" customHeight="false" outlineLevel="0" collapsed="false">
      <c r="A96" s="18" t="str">
        <f aca="false">IFERROR(MID(D96,1,FIND("|",D96)-1)&amp;"-"&amp;C96,"")</f>
        <v>AICI202116-15-2-4</v>
      </c>
      <c r="B96" s="19" t="n">
        <f aca="false">IFERROR(__xludf.dummyfunction("""COMPUTED_VALUE"""),45028)</f>
        <v>45028</v>
      </c>
      <c r="C96" s="0" t="n">
        <f aca="false">IFERROR(__xludf.dummyfunction("""COMPUTED_VALUE"""),4)</f>
        <v>4</v>
      </c>
      <c r="D96" s="0" t="str">
        <f aca="false">IFERROR(__xludf.dummyfunction("""COMPUTED_VALUE"""),"AICI202116-15-2| Desarrollar conjuntamente con el área de sistemas un mecanismo de control, que permita alertar sobre las frecuencias de uso de las atenciones de … (01/mar/2022 - 30/dic/2022)")</f>
        <v>AICI202116-15-2| Desarrollar conjuntamente con el área de sistemas un mecanismo de control, que permita alertar sobre las frecuencias de uso de las atenciones de … (01/mar/2022 - 30/dic/2022)</v>
      </c>
      <c r="E96" s="0" t="str">
        <f aca="false">IFERROR(__xludf.dummyfunction("""COMPUTED_VALUE"""),"Se evidencian soportes  de las actividades realizadas con  la oficna de sistemas  asi:
1. Acta de reunión de 17-08-2022  Iniciar tramite para gestionar las frecuencias de uso en las historias clínicas 2. acta del 07/03/2023 con TICS de parametrización de "&amp;"la historia Clínica en el nuevo aplicativo Dinámica.")</f>
        <v>Se evidencian soportes  de las actividades realizadas con  la oficna de sistemas  asi:
1. Acta de reunión de 17-08-2022  Iniciar tramite para gestionar las frecuencias de uso en las historias clínicas 2. acta del 07/03/2023 con TICS de parametrización de la historia Clínica en el nuevo aplicativo Dinámica.</v>
      </c>
      <c r="F96" s="0" t="str">
        <f aca="false">IFERROR(__xludf.dummyfunction("""COMPUTED_VALUE"""),"Completo")</f>
        <v>Completo</v>
      </c>
      <c r="G96" s="0" t="str">
        <f aca="false">IFERROR(__xludf.dummyfunction("""COMPUTED_VALUE"""),"Sí")</f>
        <v>Sí</v>
      </c>
    </row>
    <row r="97" customFormat="false" ht="14.25" hidden="false" customHeight="false" outlineLevel="0" collapsed="false">
      <c r="A97" s="18" t="str">
        <f aca="false">IFERROR(MID(D97,1,FIND("|",D97)-1)&amp;"-"&amp;C97,"")</f>
        <v>AICI202116-16-1-4</v>
      </c>
      <c r="B97" s="19" t="n">
        <f aca="false">IFERROR(__xludf.dummyfunction("""COMPUTED_VALUE"""),45028)</f>
        <v>45028</v>
      </c>
      <c r="C97" s="0" t="n">
        <f aca="false">IFERROR(__xludf.dummyfunction("""COMPUTED_VALUE"""),4)</f>
        <v>4</v>
      </c>
      <c r="D97" s="0" t="str">
        <f aca="false">IFERROR(__xludf.dummyfunction("""COMPUTED_VALUE"""),"AICI202116-16-1| Desarrollar Mesas minimo 2 mesas de trabajo de coordinacion con el fin de dar lectura a los hallazgos de la auditoria de control interno y … (01/mar/2022 - 30/dic/2022)")</f>
        <v>AICI202116-16-1| Desarrollar Mesas minimo 2 mesas de trabajo de coordinacion con el fin de dar lectura a los hallazgos de la auditoria de control interno y … (01/mar/2022 - 30/dic/2022)</v>
      </c>
      <c r="E97" s="0" t="str">
        <f aca="false">IFERROR(__xludf.dummyfunction("""COMPUTED_VALUE"""),"Anexan Acta del 10 de Octubre de 2022  de Articulación de ambulatorios y gestión de riesgos donde abordan un tema de seguimiento de facturación, sin embargo en esta  no aparece asistencia de personal de Facturación, ni atención al ciudadano, además se evi"&amp;"dencian soportes de 2 actas  sobre mesas de trabajo de articulación entre los directivos de Urgencias, complementarios, gestión de riesgo y rutas integrales  realizadas una en octubre y otra en noviembre  así:  actas del 3-10-2022 y 2-11-2022, se observa "&amp;"que en esas reuniones no participaron todas las áreas responsables, no hay participación de Facturación, Atención al ciudadano, Subgerencia Corporativa ni dirección de ambulatorios.  De igual manera las actas no analizan la totalidad de la problemática de"&amp;"scrita en el hallazgo y por ende se considera  Acción atrasada.")</f>
        <v>Anexan Acta del 10 de Octubre de 2022  de Articulación de ambulatorios y gestión de riesgos donde abordan un tema de seguimiento de facturación, sin embargo en esta  no aparece asistencia de personal de Facturación, ni atención al ciudadano, además se evidencian soportes de 2 actas  sobre mesas de trabajo de articulación entre los directivos de Urgencias, complementarios, gestión de riesgo y rutas integrales  realizadas una en octubre y otra en noviembre  así:  actas del 3-10-2022 y 2-11-2022, se observa que en esas reuniones no participaron todas las áreas responsables, no hay participación de Facturación, Atención al ciudadano, Subgerencia Corporativa ni dirección de ambulatorios.  De igual manera las actas no analizan la totalidad de la problemática descrita en el hallazgo y por ende se considera  Acción atrasada.</v>
      </c>
      <c r="F97" s="0" t="str">
        <f aca="false">IFERROR(__xludf.dummyfunction("""COMPUTED_VALUE"""),"Atrasado")</f>
        <v>Atrasado</v>
      </c>
    </row>
    <row r="98" customFormat="false" ht="14.25" hidden="false" customHeight="false" outlineLevel="0" collapsed="false">
      <c r="A98" s="18" t="str">
        <f aca="false">IFERROR(MID(D98,1,FIND("|",D98)-1)&amp;"-"&amp;C98,"")</f>
        <v>AICI202116-17-1-4</v>
      </c>
      <c r="B98" s="19" t="n">
        <f aca="false">IFERROR(__xludf.dummyfunction("""COMPUTED_VALUE"""),45028)</f>
        <v>45028</v>
      </c>
      <c r="C98" s="0" t="n">
        <f aca="false">IFERROR(__xludf.dummyfunction("""COMPUTED_VALUE"""),4)</f>
        <v>4</v>
      </c>
      <c r="D98" s="0" t="str">
        <f aca="false">IFERROR(__xludf.dummyfunction("""COMPUTED_VALUE"""),"AICI202116-17-1| Desarrollar mesas de trabajo minimo 4 mesas para realizar seguimiento a la disponibilidad de medicamentos requeridos para el desarrollo de las … (01/mar/2022 - 30/dic/2022)")</f>
        <v>AICI202116-17-1| Desarrollar mesas de trabajo minimo 4 mesas para realizar seguimiento a la disponibilidad de medicamentos requeridos para el desarrollo de las … (01/mar/2022 - 30/dic/2022)</v>
      </c>
      <c r="E98" s="0" t="str">
        <f aca="false">IFERROR(__xludf.dummyfunction("""COMPUTED_VALUE"""),"Se evidencian soportes de las mesas de trabajo con el proposito de garantizar los insumos para las actividades de PYM y el desarrollo de la RPMS: 1. 23-08-2022  2. 02-12-2022: 
3. 06-12-2022. En el acta de la reunión del 24 de marzo de la dirección de amb"&amp;"ulatorios con Farmacia, se abordan temas relacionados con garantizar los medicamentos requeridos para las rutas integrales de atención, se dan directrices sobre  reporte de desabastecimientos de medicamentos,  procedimientos de solicitud, manejo y seguimi"&amp;"ento de los insumos para las rutas de PYM y materno perinatal en las unidades. se sugiere que en las mesas de trabajo exista una mayor participación de los referentes y áreas relacionadas con las RIAS")</f>
        <v>Se evidencian soportes de las mesas de trabajo con el proposito de garantizar los insumos para las actividades de PYM y el desarrollo de la RPMS: 1. 23-08-2022  2. 02-12-2022: 
3. 06-12-2022. En el acta de la reunión del 24 de marzo de la dirección de ambulatorios con Farmacia, se abordan temas relacionados con garantizar los medicamentos requeridos para las rutas integrales de atención, se dan directrices sobre  reporte de desabastecimientos de medicamentos,  procedimientos de solicitud, manejo y seguimiento de los insumos para las rutas de PYM y materno perinatal en las unidades. se sugiere que en las mesas de trabajo exista una mayor participación de los referentes y áreas relacionadas con las RIAS</v>
      </c>
      <c r="F98" s="0" t="str">
        <f aca="false">IFERROR(__xludf.dummyfunction("""COMPUTED_VALUE"""),"Completo")</f>
        <v>Completo</v>
      </c>
      <c r="G98" s="0" t="str">
        <f aca="false">IFERROR(__xludf.dummyfunction("""COMPUTED_VALUE"""),"Sí")</f>
        <v>Sí</v>
      </c>
    </row>
    <row r="99" customFormat="false" ht="14.25" hidden="false" customHeight="false" outlineLevel="0" collapsed="false">
      <c r="A99" s="18" t="str">
        <f aca="false">IFERROR(MID(D99,1,FIND("|",D99)-1)&amp;"-"&amp;C99,"")</f>
        <v>AICI202116-18-1-4</v>
      </c>
      <c r="B99" s="19" t="n">
        <f aca="false">IFERROR(__xludf.dummyfunction("""COMPUTED_VALUE"""),45028)</f>
        <v>45028</v>
      </c>
      <c r="C99" s="0" t="n">
        <f aca="false">IFERROR(__xludf.dummyfunction("""COMPUTED_VALUE"""),4)</f>
        <v>4</v>
      </c>
      <c r="D99" s="0" t="str">
        <f aca="false">IFERROR(__xludf.dummyfunction("""COMPUTED_VALUE"""),"AICI202116-18-1| Realizar mesas de coordinacion interinstitucional cada dos meses con el fin de evaluar los resultados obtenidos en la implementacion de la Ruta de … (01/mar/2022 - 31/dic/2022)")</f>
        <v>AICI202116-18-1| Realizar mesas de coordinacion interinstitucional cada dos meses con el fin de evaluar los resultados obtenidos en la implementacion de la Ruta de … (01/mar/2022 - 31/dic/2022)</v>
      </c>
      <c r="E99" s="0" t="str">
        <f aca="false">IFERROR(__xludf.dummyfunction("""COMPUTED_VALUE"""),"Se presentan las siguientes actas de soporte:
1. 10-08-2022 Art. Ambulatorios - RIAS 2. 19-10-2022 Art.  Ambulatorio - RIAS 3. 26-10-2022 Art.  Ambulatorio - RIAS 4. 2-11-2022 Art. Ambulatorios - RIAS 5. 18-10-2023 Art.  Ambulatorio - RIAS,  se observa ar"&amp;"ticulación solo con la dirección de Ambulatorios pero no con las otras direcciones responsables, adicionalmente la acción propone reuniones  cada 2 meses y no hay soporte de reunión de diciembre de 2022 , ni tampoco de marzo de 2023 por lo que se consider"&amp;"a atrasada. ")</f>
        <v>Se presentan las siguientes actas de soporte:
1. 10-08-2022 Art. Ambulatorios - RIAS 2. 19-10-2022 Art.  Ambulatorio - RIAS 3. 26-10-2022 Art.  Ambulatorio - RIAS 4. 2-11-2022 Art. Ambulatorios - RIAS 5. 18-10-2023 Art.  Ambulatorio - RIAS,  se observa articulación solo con la dirección de Ambulatorios pero no con las otras direcciones responsables, adicionalmente la acción propone reuniones  cada 2 meses y no hay soporte de reunión de diciembre de 2022 , ni tampoco de marzo de 2023 por lo que se considera atrasada. </v>
      </c>
      <c r="F99" s="0" t="str">
        <f aca="false">IFERROR(__xludf.dummyfunction("""COMPUTED_VALUE"""),"Atrasado")</f>
        <v>Atrasado</v>
      </c>
    </row>
    <row r="100" customFormat="false" ht="14.25" hidden="false" customHeight="false" outlineLevel="0" collapsed="false">
      <c r="A100" s="18" t="str">
        <f aca="false">IFERROR(MID(D100,1,FIND("|",D100)-1)&amp;"-"&amp;C100,"")</f>
        <v>AICI202116-19-1-4</v>
      </c>
      <c r="B100" s="19" t="n">
        <f aca="false">IFERROR(__xludf.dummyfunction("""COMPUTED_VALUE"""),45028)</f>
        <v>45028</v>
      </c>
      <c r="C100" s="0" t="n">
        <f aca="false">IFERROR(__xludf.dummyfunction("""COMPUTED_VALUE"""),4)</f>
        <v>4</v>
      </c>
      <c r="D100" s="0" t="str">
        <f aca="false">IFERROR(__xludf.dummyfunction("""COMPUTED_VALUE"""),"AICI202116-19-1| Actualizar documentos de RIA PYM incluyendo manejo de bases de datos, entrega actualizada de estas a las unidades de atención, puntos de control … (01/mar/2022 - 31/dic/2022)")</f>
        <v>AICI202116-19-1| Actualizar documentos de RIA PYM incluyendo manejo de bases de datos, entrega actualizada de estas a las unidades de atención, puntos de control … (01/mar/2022 - 31/dic/2022)</v>
      </c>
      <c r="E100" s="0" t="str">
        <f aca="false">IFERROR(__xludf.dummyfunction("""COMPUTED_VALUE"""),"Se tiene soportes de socialización del documento de  asignación, Adscripción y adherencia de la población  así:  1. Se anexan pantallazo de correos de socialización MI-RS-I-27-03 de ambulatorios 2. Se anexa acta de socialización con directores de Ambulato"&amp;"rios, Hospitalarios, complementarios, Urgencias y gestión del Riesgo  3. Se anexan correos de socialización de personal de diferentes puntos de atención y algunos equipos operativos que realizan las actividades de las RIAS ")</f>
        <v>Se tiene soportes de socialización del documento de  asignación, Adscripción y adherencia de la población  así:  1. Se anexan pantallazo de correos de socialización MI-RS-I-27-03 de ambulatorios 2. Se anexa acta de socialización con directores de Ambulatorios, Hospitalarios, complementarios, Urgencias y gestión del Riesgo  3. Se anexan correos de socialización de personal de diferentes puntos de atención y algunos equipos operativos que realizan las actividades de las RIAS </v>
      </c>
      <c r="F100" s="0" t="str">
        <f aca="false">IFERROR(__xludf.dummyfunction("""COMPUTED_VALUE"""),"Completo")</f>
        <v>Completo</v>
      </c>
      <c r="G100" s="0" t="str">
        <f aca="false">IFERROR(__xludf.dummyfunction("""COMPUTED_VALUE"""),"Sí")</f>
        <v>Sí</v>
      </c>
    </row>
    <row r="101" customFormat="false" ht="14.25" hidden="false" customHeight="false" outlineLevel="0" collapsed="false">
      <c r="A101" s="18" t="str">
        <f aca="false">IFERROR(MID(D101,1,FIND("|",D101)-1)&amp;"-"&amp;C101,"")</f>
        <v>AICI202116-20-2-4</v>
      </c>
      <c r="B101" s="19" t="n">
        <f aca="false">IFERROR(__xludf.dummyfunction("""COMPUTED_VALUE"""),45028)</f>
        <v>45028</v>
      </c>
      <c r="C101" s="0" t="n">
        <f aca="false">IFERROR(__xludf.dummyfunction("""COMPUTED_VALUE"""),4)</f>
        <v>4</v>
      </c>
      <c r="D101" s="0" t="str">
        <f aca="false">IFERROR(__xludf.dummyfunction("""COMPUTED_VALUE"""),"AICI202116-20-2| Realizar plan de trabajo para fortalecer el tema de sistemas de información relacionado con el desarrollo de la RPYMS (01/mar/2022 - 31/dic/2022)")</f>
        <v>AICI202116-20-2| Realizar plan de trabajo para fortalecer el tema de sistemas de información relacionado con el desarrollo de la RPYMS (01/mar/2022 - 31/dic/2022)</v>
      </c>
      <c r="E101" s="0" t="str">
        <f aca="false">IFERROR(__xludf.dummyfunction("""COMPUTED_VALUE"""),"Se observa que se tiene el plan de trabajo para establecer backup de información, el plan está firmado por la líder de la Ruta Jefe Maritza Serna Gamarra, adicionalmente anexan acta con la concertación del plan de trabajo con la oficina de facturación, di"&amp;"rección de gestión de riesgo, y sistemas ")</f>
        <v>Se observa que se tiene el plan de trabajo para establecer backup de información, el plan está firmado por la líder de la Ruta Jefe Maritza Serna Gamarra, adicionalmente anexan acta con la concertación del plan de trabajo con la oficina de facturación, dirección de gestión de riesgo, y sistemas </v>
      </c>
      <c r="F101" s="0" t="str">
        <f aca="false">IFERROR(__xludf.dummyfunction("""COMPUTED_VALUE"""),"Completo")</f>
        <v>Completo</v>
      </c>
      <c r="G101" s="0" t="str">
        <f aca="false">IFERROR(__xludf.dummyfunction("""COMPUTED_VALUE"""),"Sí")</f>
        <v>Sí</v>
      </c>
    </row>
    <row r="102" customFormat="false" ht="14.25" hidden="false" customHeight="false" outlineLevel="0" collapsed="false">
      <c r="A102" s="18" t="str">
        <f aca="false">IFERROR(MID(D102,1,FIND("|",D102)-1)&amp;"-"&amp;C102,"")</f>
        <v>AICI202116-21-2-4</v>
      </c>
      <c r="B102" s="19" t="n">
        <f aca="false">IFERROR(__xludf.dummyfunction("""COMPUTED_VALUE"""),45028)</f>
        <v>45028</v>
      </c>
      <c r="C102" s="0" t="n">
        <f aca="false">IFERROR(__xludf.dummyfunction("""COMPUTED_VALUE"""),4)</f>
        <v>4</v>
      </c>
      <c r="D102" s="0" t="str">
        <f aca="false">IFERROR(__xludf.dummyfunction("""COMPUTED_VALUE"""),"AICI202116-21-2| Definir e implementar el procedimiento de backup de la informacion de la RPMS y realizar la solicitud de equipos tecnologicos requeridos al area … (18/ene/2022 - 28/may/2022)")</f>
        <v>AICI202116-21-2| Definir e implementar el procedimiento de backup de la informacion de la RPMS y realizar la solicitud de equipos tecnologicos requeridos al area … (18/ene/2022 - 28/may/2022)</v>
      </c>
      <c r="E102" s="0" t="str">
        <f aca="false">IFERROR(__xludf.dummyfunction("""COMPUTED_VALUE"""),"Se observa que se tiene el plan de trabajo para establecer backup de información, el plan está firmado por la líder de la Ruta Jefe Maritza Serna Gamarra, adicionalmente anexan acta con la concertación del plan de trabajo con la oficina de facturación, di"&amp;"rección de gestión de riesgo, y sistemas . También  anexan el instructivo  AP-GI-I-03-01-Generación copias de seguridad (Backups). dentro  la acta de concertación del plan de trabajo se establecen responsabilidades y compromisos de cada área para la imple"&amp;"mentación y seguimiento del plan de trabajo y generación de copias de seguridad.")</f>
        <v>Se observa que se tiene el plan de trabajo para establecer backup de información, el plan está firmado por la líder de la Ruta Jefe Maritza Serna Gamarra, adicionalmente anexan acta con la concertación del plan de trabajo con la oficina de facturación, dirección de gestión de riesgo, y sistemas . También  anexan el instructivo  AP-GI-I-03-01-Generación copias de seguridad (Backups). dentro  la acta de concertación del plan de trabajo se establecen responsabilidades y compromisos de cada área para la implementación y seguimiento del plan de trabajo y generación de copias de seguridad.</v>
      </c>
      <c r="F102" s="0" t="str">
        <f aca="false">IFERROR(__xludf.dummyfunction("""COMPUTED_VALUE"""),"Completo")</f>
        <v>Completo</v>
      </c>
      <c r="G102" s="0" t="str">
        <f aca="false">IFERROR(__xludf.dummyfunction("""COMPUTED_VALUE"""),"Sí")</f>
        <v>Sí</v>
      </c>
    </row>
    <row r="103" customFormat="false" ht="14.25" hidden="false" customHeight="false" outlineLevel="0" collapsed="false">
      <c r="A103" s="18" t="str">
        <f aca="false">IFERROR(MID(D103,1,FIND("|",D103)-1)&amp;"-"&amp;C103,"")</f>
        <v>AICI202116-22-2-4</v>
      </c>
      <c r="B103" s="19" t="n">
        <f aca="false">IFERROR(__xludf.dummyfunction("""COMPUTED_VALUE"""),45028)</f>
        <v>45028</v>
      </c>
      <c r="C103" s="0" t="n">
        <f aca="false">IFERROR(__xludf.dummyfunction("""COMPUTED_VALUE"""),4)</f>
        <v>4</v>
      </c>
      <c r="D103" s="0" t="str">
        <f aca="false">IFERROR(__xludf.dummyfunction("""COMPUTED_VALUE"""),"AICI202116-22-2| Implementar el plan de auditoria de las RIAS en equipos operativos y dinamizador de la RPYMS (01/mar/2022 - 31/dic/2022)")</f>
        <v>AICI202116-22-2| Implementar el plan de auditoria de las RIAS en equipos operativos y dinamizador de la RPYMS (01/mar/2022 - 31/dic/2022)</v>
      </c>
      <c r="E103" s="0" t="str">
        <f aca="false">IFERROR(__xludf.dummyfunction("""COMPUTED_VALUE"""),"Se anexa informe de auditoria realizado por el medico familiar de la ruta PYM en donde se evidencia el proceso de realizado en la verificación de HC a los profesionales de atención ambulatoria, el documento soporto que ya se están realizando  auditorias e"&amp;"n la ruta de RPYMS, en el informe se observa que la unidades auditadas  durante el periodo de Nov 2022 y enero 2023 fueron Boyacá Real, Garcés Navas, Emaús, Álamos, San Cristóbal, Prado Veraniego, Santa Cecilia, Gaitana, Rincón, Orquídeas, Codito, San Lui"&amp;"s, Bellavista, Buenavista, Usaquén Calle 80, La Española, Chapinero, Fray Bartolomé y Bachué.")</f>
        <v>Se anexa informe de auditoria realizado por el medico familiar de la ruta PYM en donde se evidencia el proceso de realizado en la verificación de HC a los profesionales de atención ambulatoria, el documento soporto que ya se están realizando  auditorias en la ruta de RPYMS, en el informe se observa que la unidades auditadas  durante el periodo de Nov 2022 y enero 2023 fueron Boyacá Real, Garcés Navas, Emaús, Álamos, San Cristóbal, Prado Veraniego, Santa Cecilia, Gaitana, Rincón, Orquídeas, Codito, San Luis, Bellavista, Buenavista, Usaquén Calle 80, La Española, Chapinero, Fray Bartolomé y Bachué.</v>
      </c>
      <c r="F103" s="0" t="str">
        <f aca="false">IFERROR(__xludf.dummyfunction("""COMPUTED_VALUE"""),"Completo")</f>
        <v>Completo</v>
      </c>
      <c r="G103" s="0" t="str">
        <f aca="false">IFERROR(__xludf.dummyfunction("""COMPUTED_VALUE"""),"Sí")</f>
        <v>Sí</v>
      </c>
    </row>
    <row r="104" customFormat="false" ht="14.25" hidden="false" customHeight="false" outlineLevel="0" collapsed="false">
      <c r="A104" s="18" t="str">
        <f aca="false">IFERROR(MID(D104,1,FIND("|",D104)-1)&amp;"-"&amp;C104,"")</f>
        <v>AICI202116-5-1-5</v>
      </c>
      <c r="B104" s="19" t="n">
        <f aca="false">IFERROR(__xludf.dummyfunction("""COMPUTED_VALUE"""),45112)</f>
        <v>45112</v>
      </c>
      <c r="C104" s="0" t="n">
        <f aca="false">IFERROR(__xludf.dummyfunction("""COMPUTED_VALUE"""),5)</f>
        <v>5</v>
      </c>
      <c r="D104" s="0" t="str">
        <f aca="false">IFERROR(__xludf.dummyfunction("""COMPUTED_VALUE"""),"AICI202116-5-1| Actualizar los Instructivos correspondientes a la ejecución de actividades de Todas RIAS según normatividad vigente (10/feb/2022 - 31/may/2022)")</f>
        <v>AICI202116-5-1| Actualizar los Instructivos correspondientes a la ejecución de actividades de Todas RIAS según normatividad vigente (10/feb/2022 - 31/may/2022)</v>
      </c>
      <c r="E104" s="0" t="str">
        <f aca="false">IFERROR(__xludf.dummyfunction("""COMPUTED_VALUE"""),"Se evidencia en Almera el protocolo de atención a victimas de violencia sexual,con fecha de  actualización de abril 11 de 2023 en versión 3,con lo cual finaliza la actualización  de documentos de RIAS")</f>
        <v>Se evidencia en Almera el protocolo de atención a victimas de violencia sexual,con fecha de  actualización de abril 11 de 2023 en versión 3,con lo cual finaliza la actualización  de documentos de RIAS</v>
      </c>
      <c r="F104" s="0" t="str">
        <f aca="false">IFERROR(__xludf.dummyfunction("""COMPUTED_VALUE"""),"Completo")</f>
        <v>Completo</v>
      </c>
      <c r="G104" s="0" t="str">
        <f aca="false">IFERROR(__xludf.dummyfunction("""COMPUTED_VALUE"""),"Sí")</f>
        <v>Sí</v>
      </c>
    </row>
    <row r="105" customFormat="false" ht="14.25" hidden="false" customHeight="false" outlineLevel="0" collapsed="false">
      <c r="A105" s="18" t="str">
        <f aca="false">IFERROR(MID(D105,1,FIND("|",D105)-1)&amp;"-"&amp;C105,"")</f>
        <v>AICI202116-7-2-5</v>
      </c>
      <c r="B105" s="19" t="n">
        <f aca="false">IFERROR(__xludf.dummyfunction("""COMPUTED_VALUE"""),45112)</f>
        <v>45112</v>
      </c>
      <c r="C105" s="0" t="n">
        <f aca="false">IFERROR(__xludf.dummyfunction("""COMPUTED_VALUE"""),5)</f>
        <v>5</v>
      </c>
      <c r="D105" s="0" t="str">
        <f aca="false">IFERROR(__xludf.dummyfunction("""COMPUTED_VALUE"""),"AICI202116-7-2| Hacer Seguimiento de la asignación/contratación del personal requerido para el funcionamiento de las RIAS desde cada una de las Direcciones que … (11/feb/2022 - 31/dic/2022)")</f>
        <v>AICI202116-7-2| Hacer Seguimiento de la asignación/contratación del personal requerido para el funcionamiento de las RIAS desde cada una de las Direcciones que … (11/feb/2022 - 31/dic/2022)</v>
      </c>
      <c r="E105" s="0" t="str">
        <f aca="false">IFERROR(__xludf.dummyfunction("""COMPUTED_VALUE"""),"Se anexan actas con fechas del 18 de mayo 2023 ,25 de octubre y 2 de noviembre 2022 relacionadas con el seguimiento y contratación del talento humano para cada una de la rutas,mesas de trabajo con las áreas directivas y socialización de los planes RIAS.
S"&amp;"e cierra esta acción.")</f>
        <v>Se anexan actas con fechas del 18 de mayo 2023 ,25 de octubre y 2 de noviembre 2022 relacionadas con el seguimiento y contratación del talento humano para cada una de la rutas,mesas de trabajo con las áreas directivas y socialización de los planes RIAS.
Se cierra esta acción.</v>
      </c>
      <c r="F105" s="0" t="str">
        <f aca="false">IFERROR(__xludf.dummyfunction("""COMPUTED_VALUE"""),"Completo")</f>
        <v>Completo</v>
      </c>
      <c r="G105" s="0" t="str">
        <f aca="false">IFERROR(__xludf.dummyfunction("""COMPUTED_VALUE"""),"Sí")</f>
        <v>Sí</v>
      </c>
    </row>
    <row r="106" customFormat="false" ht="14.25" hidden="false" customHeight="false" outlineLevel="0" collapsed="false">
      <c r="A106" s="18" t="str">
        <f aca="false">IFERROR(MID(D106,1,FIND("|",D106)-1)&amp;"-"&amp;C106,"")</f>
        <v>AICI202116-16-1-5</v>
      </c>
      <c r="B106" s="19" t="n">
        <f aca="false">IFERROR(__xludf.dummyfunction("""COMPUTED_VALUE"""),45113)</f>
        <v>45113</v>
      </c>
      <c r="C106" s="0" t="n">
        <f aca="false">IFERROR(__xludf.dummyfunction("""COMPUTED_VALUE"""),5)</f>
        <v>5</v>
      </c>
      <c r="D106" s="0" t="str">
        <f aca="false">IFERROR(__xludf.dummyfunction("""COMPUTED_VALUE"""),"AICI202116-16-1| Desarrollar Mesas minimo 2 mesas de trabajo de coordinacion con el fin de dar lectura a los hallazgos de la auditoria de control interno y … (01/mar/2022 - 30/dic/2022)")</f>
        <v>AICI202116-16-1| Desarrollar Mesas minimo 2 mesas de trabajo de coordinacion con el fin de dar lectura a los hallazgos de la auditoria de control interno y … (01/mar/2022 - 30/dic/2022)</v>
      </c>
      <c r="E106" s="0" t="str">
        <f aca="false">IFERROR(__xludf.dummyfunction("""COMPUTED_VALUE"""),"Se anexan actas del 19 de enero y 16 de febrero de2023,donde asiste facturación,atención al usuario,ambulatorios etc.")</f>
        <v>Se anexan actas del 19 de enero y 16 de febrero de2023,donde asiste facturación,atención al usuario,ambulatorios etc.</v>
      </c>
      <c r="F106" s="0" t="str">
        <f aca="false">IFERROR(__xludf.dummyfunction("""COMPUTED_VALUE"""),"Completo")</f>
        <v>Completo</v>
      </c>
      <c r="G106" s="0" t="str">
        <f aca="false">IFERROR(__xludf.dummyfunction("""COMPUTED_VALUE"""),"Sí")</f>
        <v>Sí</v>
      </c>
    </row>
    <row r="107" customFormat="false" ht="14.25" hidden="false" customHeight="false" outlineLevel="0" collapsed="false">
      <c r="A107" s="18" t="str">
        <f aca="false">IFERROR(MID(D107,1,FIND("|",D107)-1)&amp;"-"&amp;C107,"")</f>
        <v>AICI202116-18-1-5</v>
      </c>
      <c r="B107" s="19" t="n">
        <f aca="false">IFERROR(__xludf.dummyfunction("""COMPUTED_VALUE"""),45113)</f>
        <v>45113</v>
      </c>
      <c r="C107" s="0" t="n">
        <f aca="false">IFERROR(__xludf.dummyfunction("""COMPUTED_VALUE"""),5)</f>
        <v>5</v>
      </c>
      <c r="D107" s="0" t="str">
        <f aca="false">IFERROR(__xludf.dummyfunction("""COMPUTED_VALUE"""),"AICI202116-18-1| Realizar mesas de coordinacion interinstitucional cada dos meses con el fin de evaluar los resultados obtenidos en la implementacion de la Ruta de … (01/mar/2022 - 31/dic/2022)")</f>
        <v>AICI202116-18-1| Realizar mesas de coordinacion interinstitucional cada dos meses con el fin de evaluar los resultados obtenidos en la implementacion de la Ruta de … (01/mar/2022 - 31/dic/2022)</v>
      </c>
      <c r="E107" s="0" t="str">
        <f aca="false">IFERROR(__xludf.dummyfunction("""COMPUTED_VALUE"""),"Se anexan actas de mesas de trabajo con ambulatorios,urgencias,hospitalarios,riesgos de fechas 20 de febrero y 14 de abril 2023,se cierra acción")</f>
        <v>Se anexan actas de mesas de trabajo con ambulatorios,urgencias,hospitalarios,riesgos de fechas 20 de febrero y 14 de abril 2023,se cierra acción</v>
      </c>
      <c r="F107" s="0" t="str">
        <f aca="false">IFERROR(__xludf.dummyfunction("""COMPUTED_VALUE"""),"Completo")</f>
        <v>Completo</v>
      </c>
      <c r="G107" s="0" t="str">
        <f aca="false">IFERROR(__xludf.dummyfunction("""COMPUTED_VALUE"""),"Sí")</f>
        <v>Sí</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1817</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AICI202117-3-1-1</v>
      </c>
      <c r="B4" s="19" t="n">
        <f aca="false">IFERROR(__xludf.dummyfunction("""COMPUTED_VALUE"""),44750)</f>
        <v>44750</v>
      </c>
      <c r="C4" s="0" t="n">
        <f aca="false">IFERROR(__xludf.dummyfunction("""COMPUTED_VALUE"""),1)</f>
        <v>1</v>
      </c>
      <c r="D4" s="0" t="str">
        <f aca="false">IFERROR(__xludf.dummyfunction("""COMPUTED_VALUE"""),"AICI202117-3-1| Revisar con los referentes de facturación de cada unidad y junto con la jefe de facturación y la dirección financiera la viabilidad ... (01/may/2022 - 30/jun/2022)")</f>
        <v>AICI202117-3-1| Revisar con los referentes de facturación de cada unidad y junto con la jefe de facturación y la dirección financiera la viabilidad ... (01/may/2022 - 30/jun/2022)</v>
      </c>
      <c r="E4" s="0" t="str">
        <f aca="false">IFERROR(__xludf.dummyfunction("""COMPUTED_VALUE"""),"Se tiene programada reunión para el día 12 de julio con el referente de facturación, director financiero, cajeros principales y referentes de facturación de unidades de servicio para determinar el manejo que se realizará al libro de recaudo y su continuid"&amp;"ad dentro del proceso")</f>
        <v>Se tiene programada reunión para el día 12 de julio con el referente de facturación, director financiero, cajeros principales y referentes de facturación de unidades de servicio para determinar el manejo que se realizará al libro de recaudo y su continuidad dentro del proceso</v>
      </c>
      <c r="F4" s="0" t="str">
        <f aca="false">IFERROR(__xludf.dummyfunction("""COMPUTED_VALUE"""),"Atrasado")</f>
        <v>Atrasado</v>
      </c>
    </row>
    <row r="5" customFormat="false" ht="14.25" hidden="false" customHeight="false" outlineLevel="0" collapsed="false">
      <c r="A5" s="18" t="str">
        <f aca="false">IFERROR(MID(D5,1,FIND("|",D5)-1)&amp;"-"&amp;C5,"")</f>
        <v>AICI202117-1-1-1</v>
      </c>
      <c r="B5" s="19" t="n">
        <f aca="false">IFERROR(__xludf.dummyfunction("""COMPUTED_VALUE"""),44750)</f>
        <v>44750</v>
      </c>
      <c r="C5" s="0" t="n">
        <f aca="false">IFERROR(__xludf.dummyfunction("""COMPUTED_VALUE"""),1)</f>
        <v>1</v>
      </c>
      <c r="D5" s="0" t="str">
        <f aca="false">IFERROR(__xludf.dummyfunction("""COMPUTED_VALUE"""),"AICI202117-1-1| NA1 - realizar la conciliación mensual con el area de cartera y CERTIFICACIÓN de ingresos en conjunto con cartera y fuente de ... (19/abr/2022 - 30/abr/2022)")</f>
        <v>AICI202117-1-1| NA1 - realizar la conciliación mensual con el area de cartera y CERTIFICACIÓN de ingresos en conjunto con cartera y fuente de ... (19/abr/2022 - 30/abr/2022)</v>
      </c>
      <c r="E5" s="0" t="str">
        <f aca="false">IFERROR(__xludf.dummyfunction("""COMPUTED_VALUE"""),"Sobre esta acción no llego información del área responsable, ni se tiene avance.")</f>
        <v>Sobre esta acción no llego información del área responsable, ni se tiene avance.</v>
      </c>
      <c r="F5" s="0" t="str">
        <f aca="false">IFERROR(__xludf.dummyfunction("""COMPUTED_VALUE"""),"Atrasado")</f>
        <v>Atrasado</v>
      </c>
    </row>
    <row r="6" customFormat="false" ht="14.25" hidden="false" customHeight="false" outlineLevel="0" collapsed="false">
      <c r="A6" s="18" t="str">
        <f aca="false">IFERROR(MID(D6,1,FIND("|",D6)-1)&amp;"-"&amp;C6,"")</f>
        <v>AICI202117-2-1-1</v>
      </c>
      <c r="B6" s="19" t="n">
        <f aca="false">IFERROR(__xludf.dummyfunction("""COMPUTED_VALUE"""),44750)</f>
        <v>44750</v>
      </c>
      <c r="C6" s="0" t="n">
        <f aca="false">IFERROR(__xludf.dummyfunction("""COMPUTED_VALUE"""),1)</f>
        <v>1</v>
      </c>
      <c r="D6" s="0" t="str">
        <f aca="false">IFERROR(__xludf.dummyfunction("""COMPUTED_VALUE"""),"AICI202117-2-1| NA - actas de capacitación como soporte a la elaboración de esta actividad (01/ene/2022 - 30/jun/2022)")</f>
        <v>AICI202117-2-1| NA - actas de capacitación como soporte a la elaboración de esta actividad (01/ene/2022 - 30/jun/2022)</v>
      </c>
      <c r="E6" s="0" t="str">
        <f aca="false">IFERROR(__xludf.dummyfunction("""COMPUTED_VALUE"""),"Sobre esta acción no llego información del área responsable, ni se tiene avance.")</f>
        <v>Sobre esta acción no llego información del área responsable, ni se tiene avance.</v>
      </c>
      <c r="F6" s="0" t="str">
        <f aca="false">IFERROR(__xludf.dummyfunction("""COMPUTED_VALUE"""),"Atrasado")</f>
        <v>Atrasado</v>
      </c>
    </row>
    <row r="7" customFormat="false" ht="14.25" hidden="false" customHeight="false" outlineLevel="0" collapsed="false">
      <c r="A7" s="18" t="str">
        <f aca="false">IFERROR(MID(D7,1,FIND("|",D7)-1)&amp;"-"&amp;C7,"")</f>
        <v>AICI202117-4-1-1</v>
      </c>
      <c r="B7" s="19" t="n">
        <f aca="false">IFERROR(__xludf.dummyfunction("""COMPUTED_VALUE"""),44750)</f>
        <v>44750</v>
      </c>
      <c r="C7" s="0" t="n">
        <f aca="false">IFERROR(__xludf.dummyfunction("""COMPUTED_VALUE"""),1)</f>
        <v>1</v>
      </c>
      <c r="D7" s="0" t="str">
        <f aca="false">IFERROR(__xludf.dummyfunction("""COMPUTED_VALUE"""),"AICI202117-4-1| Revisar con los referentes de facturación de cada unidad y junto con la jefe de facturación y la dirección financiera la viabilidad ... (01/may/2022 - 30/jun/2022)")</f>
        <v>AICI202117-4-1| Revisar con los referentes de facturación de cada unidad y junto con la jefe de facturación y la dirección financiera la viabilidad ... (01/may/2022 - 30/jun/2022)</v>
      </c>
      <c r="E7" s="0" t="str">
        <f aca="false">IFERROR(__xludf.dummyfunction("""COMPUTED_VALUE"""),"Se tiene programada reunión para el día 12 de julio con el referente de facturación, director financiero, cajeros principales y referentes de facturación de unidades de servicio para determinar el manejo que se realizará al libro de recaudo y su continuid"&amp;"ad dentro del proceso")</f>
        <v>Se tiene programada reunión para el día 12 de julio con el referente de facturación, director financiero, cajeros principales y referentes de facturación de unidades de servicio para determinar el manejo que se realizará al libro de recaudo y su continuidad dentro del proceso</v>
      </c>
      <c r="F7" s="0" t="str">
        <f aca="false">IFERROR(__xludf.dummyfunction("""COMPUTED_VALUE"""),"Atrasado")</f>
        <v>Atrasado</v>
      </c>
    </row>
    <row r="8" customFormat="false" ht="14.25" hidden="false" customHeight="false" outlineLevel="0" collapsed="false">
      <c r="A8" s="18" t="str">
        <f aca="false">IFERROR(MID(D8,1,FIND("|",D8)-1)&amp;"-"&amp;C8,"")</f>
        <v>AICI202117-5-1-1</v>
      </c>
      <c r="B8" s="19" t="n">
        <f aca="false">IFERROR(__xludf.dummyfunction("""COMPUTED_VALUE"""),44750)</f>
        <v>44750</v>
      </c>
      <c r="C8" s="0" t="n">
        <f aca="false">IFERROR(__xludf.dummyfunction("""COMPUTED_VALUE"""),1)</f>
        <v>1</v>
      </c>
      <c r="D8" s="0" t="str">
        <f aca="false">IFERROR(__xludf.dummyfunction("""COMPUTED_VALUE"""),"AICI202117-5-1| NA2 - realizar la conciliación mensual con el area de cartera y CERTIFICACIÓN de ingresos en conjunto con cartera y fuente de ... (19/abr/2022 - 30/abr/2022)")</f>
        <v>AICI202117-5-1| NA2 - realizar la conciliación mensual con el area de cartera y CERTIFICACIÓN de ingresos en conjunto con cartera y fuente de ... (19/abr/2022 - 30/abr/2022)</v>
      </c>
      <c r="E8" s="0" t="str">
        <f aca="false">IFERROR(__xludf.dummyfunction("""COMPUTED_VALUE"""),"Sobre esta acción no llego información del área responsable, ni se tiene avance.")</f>
        <v>Sobre esta acción no llego información del área responsable, ni se tiene avance.</v>
      </c>
      <c r="F8" s="0" t="str">
        <f aca="false">IFERROR(__xludf.dummyfunction("""COMPUTED_VALUE"""),"Atrasado")</f>
        <v>Atrasado</v>
      </c>
    </row>
    <row r="9" customFormat="false" ht="14.25" hidden="false" customHeight="false" outlineLevel="0" collapsed="false">
      <c r="A9" s="18" t="str">
        <f aca="false">IFERROR(MID(D9,1,FIND("|",D9)-1)&amp;"-"&amp;C9,"")</f>
        <v>AICI202117-6-1-1</v>
      </c>
      <c r="B9" s="19" t="n">
        <f aca="false">IFERROR(__xludf.dummyfunction("""COMPUTED_VALUE"""),44750)</f>
        <v>44750</v>
      </c>
      <c r="C9" s="0" t="n">
        <f aca="false">IFERROR(__xludf.dummyfunction("""COMPUTED_VALUE"""),1)</f>
        <v>1</v>
      </c>
      <c r="D9" s="0" t="str">
        <f aca="false">IFERROR(__xludf.dummyfunction("""COMPUTED_VALUE"""),"AICI202117-6-1| NA3 - realizar la conciliación mensual con el area de cartera y CERTIFICACIÓN de ingresos en conjunto con cartera y fuente de ... (19/abr/2022 - 30/abr/2022)")</f>
        <v>AICI202117-6-1| NA3 - realizar la conciliación mensual con el area de cartera y CERTIFICACIÓN de ingresos en conjunto con cartera y fuente de ... (19/abr/2022 - 30/abr/2022)</v>
      </c>
      <c r="E9" s="0" t="str">
        <f aca="false">IFERROR(__xludf.dummyfunction("""COMPUTED_VALUE"""),"Sobre esta acción no llego información del área responsable, ni se tiene avance.")</f>
        <v>Sobre esta acción no llego información del área responsable, ni se tiene avance.</v>
      </c>
      <c r="F9" s="0" t="str">
        <f aca="false">IFERROR(__xludf.dummyfunction("""COMPUTED_VALUE"""),"Atrasado")</f>
        <v>Atrasado</v>
      </c>
    </row>
    <row r="10" customFormat="false" ht="14.25" hidden="false" customHeight="false" outlineLevel="0" collapsed="false">
      <c r="A10" s="18" t="str">
        <f aca="false">IFERROR(MID(D10,1,FIND("|",D10)-1)&amp;"-"&amp;C10,"")</f>
        <v>AICI202117-7-1-1</v>
      </c>
      <c r="B10" s="19" t="n">
        <f aca="false">IFERROR(__xludf.dummyfunction("""COMPUTED_VALUE"""),44750)</f>
        <v>44750</v>
      </c>
      <c r="C10" s="0" t="n">
        <f aca="false">IFERROR(__xludf.dummyfunction("""COMPUTED_VALUE"""),1)</f>
        <v>1</v>
      </c>
      <c r="D10" s="0" t="str">
        <f aca="false">IFERROR(__xludf.dummyfunction("""COMPUTED_VALUE"""),"AICI202117-7-1| Realizar un inventario de las cajillas de seguridad para solicitar cambio de las que están dañadas y para solicitar nuevas en ... (01/may/2022 - 30/jun/2022)")</f>
        <v>AICI202117-7-1| Realizar un inventario de las cajillas de seguridad para solicitar cambio de las que están dañadas y para solicitar nuevas en ... (01/may/2022 - 30/jun/2022)</v>
      </c>
      <c r="E10" s="0" t="str">
        <f aca="false">IFERROR(__xludf.dummyfunction("""COMPUTED_VALUE"""),"Se esta actualizando y verificando con el área de facturación y operaciones financieras el inventario final para solicitar mantenimiento de las que se puedan arreglar y cambio de las que se deban adquirir")</f>
        <v>Se esta actualizando y verificando con el área de facturación y operaciones financieras el inventario final para solicitar mantenimiento de las que se puedan arreglar y cambio de las que se deban adquirir</v>
      </c>
      <c r="F10" s="0" t="str">
        <f aca="false">IFERROR(__xludf.dummyfunction("""COMPUTED_VALUE"""),"Atrasado")</f>
        <v>Atrasado</v>
      </c>
    </row>
    <row r="11" customFormat="false" ht="14.25" hidden="false" customHeight="false" outlineLevel="0" collapsed="false">
      <c r="A11" s="18" t="str">
        <f aca="false">IFERROR(MID(D11,1,FIND("|",D11)-1)&amp;"-"&amp;C11,"")</f>
        <v>AICI202117-7-2-1</v>
      </c>
      <c r="B11" s="19" t="n">
        <f aca="false">IFERROR(__xludf.dummyfunction("""COMPUTED_VALUE"""),44750)</f>
        <v>44750</v>
      </c>
      <c r="C11" s="0" t="n">
        <f aca="false">IFERROR(__xludf.dummyfunction("""COMPUTED_VALUE"""),1)</f>
        <v>1</v>
      </c>
      <c r="D11" s="0" t="str">
        <f aca="false">IFERROR(__xludf.dummyfunction("""COMPUTED_VALUE"""),"AICI202117-7-2| Analizar en mesa de trabajo con la dirección financiera la viabilidad y la utilidad de establecer bases de caja para cada punto ... (01/may/2022 - 30/jun/2022)")</f>
        <v>AICI202117-7-2| Analizar en mesa de trabajo con la dirección financiera la viabilidad y la utilidad de establecer bases de caja para cada punto ... (01/may/2022 - 30/jun/2022)</v>
      </c>
      <c r="E11" s="0" t="str">
        <f aca="false">IFERROR(__xludf.dummyfunction("""COMPUTED_VALUE"""),"Se esta actualizando y verificando con el área de facturación y operaciones financieras el inventario final para solicitar mantenimiento de las que se puedan arreglar y cambio de las que se deban adquirir")</f>
        <v>Se esta actualizando y verificando con el área de facturación y operaciones financieras el inventario final para solicitar mantenimiento de las que se puedan arreglar y cambio de las que se deban adquirir</v>
      </c>
      <c r="F11" s="0" t="str">
        <f aca="false">IFERROR(__xludf.dummyfunction("""COMPUTED_VALUE"""),"Atrasado")</f>
        <v>Atrasado</v>
      </c>
    </row>
    <row r="12" customFormat="false" ht="14.25" hidden="false" customHeight="false" outlineLevel="0" collapsed="false">
      <c r="A12" s="18" t="str">
        <f aca="false">IFERROR(MID(D12,1,FIND("|",D12)-1)&amp;"-"&amp;C12,"")</f>
        <v>AICI202117-8-1-1</v>
      </c>
      <c r="B12" s="19" t="n">
        <f aca="false">IFERROR(__xludf.dummyfunction("""COMPUTED_VALUE"""),44750)</f>
        <v>44750</v>
      </c>
      <c r="C12" s="0" t="n">
        <f aca="false">IFERROR(__xludf.dummyfunction("""COMPUTED_VALUE"""),1)</f>
        <v>1</v>
      </c>
      <c r="D12" s="0" t="str">
        <f aca="false">IFERROR(__xludf.dummyfunction("""COMPUTED_VALUE"""),"AICI202117-8-1| Implementar conciliación de manera mensual con las unidades con el fin de validar los consecutivos utilizados y entregados para ... (01/jun/2022 - 30/jun/2022)")</f>
        <v>AICI202117-8-1| Implementar conciliación de manera mensual con las unidades con el fin de validar los consecutivos utilizados y entregados para ... (01/jun/2022 - 30/jun/2022)</v>
      </c>
      <c r="E12" s="0" t="str">
        <f aca="false">IFERROR(__xludf.dummyfunction("""COMPUTED_VALUE"""),"A partir de mayo de 2022 se cuenta con base de dato en Excel para el seguimiento de la serialización de pagarés remitidos a las unidades con el fin de guarda el orden y la relación entre lo reportado por facturación y lo registrado en cartera.
Por Otra pa"&amp;"rte, el soporte de Conciliación se encuentra en proceso de revisión y entrega entre ambas partes para el mes de junio de 2022.
Se adjunta soporte de la estructura de la base en Excel del control.")</f>
        <v>A partir de mayo de 2022 se cuenta con base de dato en Excel para el seguimiento de la serialización de pagarés remitidos a las unidades con el fin de guarda el orden y la relación entre lo reportado por facturación y lo registrado en cartera.
Por Otra parte, el soporte de Conciliación se encuentra en proceso de revisión y entrega entre ambas partes para el mes de junio de 2022.
Se adjunta soporte de la estructura de la base en Excel del control.</v>
      </c>
      <c r="F12" s="0" t="str">
        <f aca="false">IFERROR(__xludf.dummyfunction("""COMPUTED_VALUE"""),"Atrasado")</f>
        <v>Atrasado</v>
      </c>
    </row>
    <row r="13" customFormat="false" ht="14.25" hidden="false" customHeight="false" outlineLevel="0" collapsed="false">
      <c r="A13" s="18" t="str">
        <f aca="false">IFERROR(MID(D13,1,FIND("|",D13)-1)&amp;"-"&amp;C13,"")</f>
        <v>AICI202117-9-1-1</v>
      </c>
      <c r="B13" s="19" t="n">
        <f aca="false">IFERROR(__xludf.dummyfunction("""COMPUTED_VALUE"""),44750)</f>
        <v>44750</v>
      </c>
      <c r="C13" s="0" t="n">
        <f aca="false">IFERROR(__xludf.dummyfunction("""COMPUTED_VALUE"""),1)</f>
        <v>1</v>
      </c>
      <c r="D13" s="0" t="str">
        <f aca="false">IFERROR(__xludf.dummyfunction("""COMPUTED_VALUE"""),"AICI202117-9-1| Implementar con prefijo por unidad y su respectivo consecutivo  para las unidades principales, de tal forma que facilite el control ... (01/jun/2022 - 30/jun/2022)")</f>
        <v>AICI202117-9-1| Implementar con prefijo por unidad y su respectivo consecutivo  para las unidades principales, de tal forma que facilite el control ... (01/jun/2022 - 30/jun/2022)</v>
      </c>
      <c r="E13" s="0" t="str">
        <f aca="false">IFERROR(__xludf.dummyfunction("""COMPUTED_VALUE"""),"A partir de mayo de 2022 se cuenta con base de dato en Excel para el seguimiento de la serialización de pagarés remitidos a las unidades con el fin de guarda el orden y la relación entre lo reportado por facturación y lo registrado en cartera.
Por Otra pa"&amp;"rte, el soporte de Conciliación se encuentra en proceso de revisión y entrega entre ambas partes para el mes de junio de 2022.
Se adjunta soporte de la estructura de la base en Excel del control.")</f>
        <v>A partir de mayo de 2022 se cuenta con base de dato en Excel para el seguimiento de la serialización de pagarés remitidos a las unidades con el fin de guarda el orden y la relación entre lo reportado por facturación y lo registrado en cartera.
Por Otra parte, el soporte de Conciliación se encuentra en proceso de revisión y entrega entre ambas partes para el mes de junio de 2022.
Se adjunta soporte de la estructura de la base en Excel del control.</v>
      </c>
      <c r="F13" s="0" t="str">
        <f aca="false">IFERROR(__xludf.dummyfunction("""COMPUTED_VALUE"""),"Atrasado")</f>
        <v>Atrasado</v>
      </c>
    </row>
    <row r="14" customFormat="false" ht="14.25" hidden="false" customHeight="false" outlineLevel="0" collapsed="false">
      <c r="A14" s="18" t="str">
        <f aca="false">IFERROR(MID(D14,1,FIND("|",D14)-1)&amp;"-"&amp;C14,"")</f>
        <v>AICI202117-10-1-1</v>
      </c>
      <c r="B14" s="19" t="n">
        <f aca="false">IFERROR(__xludf.dummyfunction("""COMPUTED_VALUE"""),44750)</f>
        <v>44750</v>
      </c>
      <c r="C14" s="0" t="n">
        <f aca="false">IFERROR(__xludf.dummyfunction("""COMPUTED_VALUE"""),1)</f>
        <v>1</v>
      </c>
      <c r="D14" s="0" t="str">
        <f aca="false">IFERROR(__xludf.dummyfunction("""COMPUTED_VALUE"""),"AICI202117-10-1| Realizar mensualmente conciliación de pagarés entre el Facturación y Cartera (01/abr/2022 - 30/jun/2022)")</f>
        <v>AICI202117-10-1| Realizar mensualmente conciliación de pagarés entre el Facturación y Cartera (01/abr/2022 - 30/jun/2022)</v>
      </c>
      <c r="E14" s="0" t="str">
        <f aca="false">IFERROR(__xludf.dummyfunction("""COMPUTED_VALUE"""),"El área de facturación se encuentra articulando con cartera la conciliación mensual de la entrega de pagares la cual se cuenta definitiva al mes de marzo, Los meses de abril y mayo de 2022 se encuentra en proceso de conciliación para el mes de junio.
Se a"&amp;"djunta soporte de la conciliación de pagares")</f>
        <v>El área de facturación se encuentra articulando con cartera la conciliación mensual de la entrega de pagares la cual se cuenta definitiva al mes de marzo, Los meses de abril y mayo de 2022 se encuentra en proceso de conciliación para el mes de junio.
Se adjunta soporte de la conciliación de pagares</v>
      </c>
      <c r="F14" s="0" t="str">
        <f aca="false">IFERROR(__xludf.dummyfunction("""COMPUTED_VALUE"""),"Atrasado")</f>
        <v>Atrasado</v>
      </c>
    </row>
    <row r="15" customFormat="false" ht="14.25" hidden="false" customHeight="false" outlineLevel="0" collapsed="false">
      <c r="A15" s="18" t="str">
        <f aca="false">IFERROR(MID(D15,1,FIND("|",D15)-1)&amp;"-"&amp;C15,"")</f>
        <v>AICI202117-11-2-1</v>
      </c>
      <c r="B15" s="19" t="n">
        <f aca="false">IFERROR(__xludf.dummyfunction("""COMPUTED_VALUE"""),44750)</f>
        <v>44750</v>
      </c>
      <c r="C15" s="0" t="n">
        <f aca="false">IFERROR(__xludf.dummyfunction("""COMPUTED_VALUE"""),1)</f>
        <v>1</v>
      </c>
      <c r="D15" s="0" t="str">
        <f aca="false">IFERROR(__xludf.dummyfunction("""COMPUTED_VALUE"""),"AICI202117-11-2| Continuar con el proceso de aviso en las sedes y en la página para garantizar a plenitud el cobro. (01/abr/2022 - 30/abr/2022)")</f>
        <v>AICI202117-11-2| Continuar con el proceso de aviso en las sedes y en la página para garantizar a plenitud el cobro. (01/abr/2022 - 30/abr/2022)</v>
      </c>
      <c r="E15" s="0" t="str">
        <f aca="false">IFERROR(__xludf.dummyfunction("""COMPUTED_VALUE"""),"El área de Cartera continua realizando la gestión de cobro pertinentes, como circularizaciones, llamadas, acuerdos de pago, aviso en las sedes y en la página para garantizar a plenitud el cobro de estas partidas, dado que el riesgo no se materializó y se "&amp;"viene cumpliendo las metas de recaudo trazadas. Se adjunta soporte de seguimiento al riesgo de recaudo establecido en el mapa de riesgos.")</f>
        <v>El área de Cartera continua realizando la gestión de cobro pertinentes, como circularizaciones, llamadas, acuerdos de pago, aviso en las sedes y en la página para garantizar a plenitud el cobro de estas partidas, dado que el riesgo no se materializó y se viene cumpliendo las metas de recaudo trazadas. Se adjunta soporte de seguimiento al riesgo de recaudo establecido en el mapa de riesgos.</v>
      </c>
      <c r="F15" s="0" t="str">
        <f aca="false">IFERROR(__xludf.dummyfunction("""COMPUTED_VALUE"""),"Completo")</f>
        <v>Completo</v>
      </c>
      <c r="G15" s="0" t="str">
        <f aca="false">IFERROR(__xludf.dummyfunction("""COMPUTED_VALUE"""),"No")</f>
        <v>No</v>
      </c>
    </row>
    <row r="16" customFormat="false" ht="14.25" hidden="false" customHeight="false" outlineLevel="0" collapsed="false">
      <c r="A16" s="18" t="str">
        <f aca="false">IFERROR(MID(D16,1,FIND("|",D16)-1)&amp;"-"&amp;C16,"")</f>
        <v>AICI202117-12-1-1</v>
      </c>
      <c r="B16" s="19" t="n">
        <f aca="false">IFERROR(__xludf.dummyfunction("""COMPUTED_VALUE"""),44750)</f>
        <v>44750</v>
      </c>
      <c r="C16" s="0" t="n">
        <f aca="false">IFERROR(__xludf.dummyfunction("""COMPUTED_VALUE"""),1)</f>
        <v>1</v>
      </c>
      <c r="D16" s="0" t="str">
        <f aca="false">IFERROR(__xludf.dummyfunction("""COMPUTED_VALUE"""),"AICI202117-12-1| Normalizar los instructivos (01/abr/2022 - 30/abr/2022)")</f>
        <v>AICI202117-12-1| Normalizar los instructivos (01/abr/2022 - 30/abr/2022)</v>
      </c>
      <c r="E16" s="0" t="str">
        <f aca="false">IFERROR(__xludf.dummyfunction("""COMPUTED_VALUE"""),"Se remite prueba de la solicitud de codificación de las Manuales e instructivos previamente validados. sin embargo aun no están normalizados")</f>
        <v>Se remite prueba de la solicitud de codificación de las Manuales e instructivos previamente validados. sin embargo aun no están normalizados</v>
      </c>
      <c r="F16" s="0" t="str">
        <f aca="false">IFERROR(__xludf.dummyfunction("""COMPUTED_VALUE"""),"Atrasado")</f>
        <v>Atrasado</v>
      </c>
    </row>
    <row r="17" customFormat="false" ht="14.25" hidden="false" customHeight="false" outlineLevel="0" collapsed="false">
      <c r="A17" s="18" t="str">
        <f aca="false">IFERROR(MID(D17,1,FIND("|",D17)-1)&amp;"-"&amp;C17,"")</f>
        <v>AICI202117-11-1-1</v>
      </c>
      <c r="B17" s="19" t="n">
        <f aca="false">IFERROR(__xludf.dummyfunction("""COMPUTED_VALUE"""),44750)</f>
        <v>44750</v>
      </c>
      <c r="C17" s="0" t="n">
        <f aca="false">IFERROR(__xludf.dummyfunction("""COMPUTED_VALUE"""),1)</f>
        <v>1</v>
      </c>
      <c r="D17" s="0" t="str">
        <f aca="false">IFERROR(__xludf.dummyfunction("""COMPUTED_VALUE"""),"AICI202117-11-1| Continuar con la circularización de la cartera de particulares  acorde al Manual de gestión de Ingresos. (01/abr/2022 - 30/abr/2022)")</f>
        <v>AICI202117-11-1| Continuar con la circularización de la cartera de particulares  acorde al Manual de gestión de Ingresos. (01/abr/2022 - 30/abr/2022)</v>
      </c>
      <c r="E17" s="0" t="str">
        <f aca="false">IFERROR(__xludf.dummyfunction("""COMPUTED_VALUE"""),"Se evidencia que el área de Cartera continua realizando la gestión de cobro pertinente, como las circularizaciones, llamadas, acuerdos de pago, aviso en las sedes y en la página para garantizar a plenitud el cobro de estas partidas, por lo anterior Se com"&amp;"pleta la acción teniendo en cuenta los aspectos ya mencionados, dado que el riesgo no se materializó y se viene cumpliendo las metas de recaudo trazadas. Se adjunta soporte de seguimiento al riesgo de recaudo establecido en el mapa de riesgos.")</f>
        <v>Se evidencia que el área de Cartera continua realizando la gestión de cobro pertinente, como las circularizaciones, llamadas, acuerdos de pago, aviso en las sedes y en la página para garantizar a plenitud el cobro de estas partidas, por lo anterior Se completa la acción teniendo en cuenta los aspectos ya mencionados, dado que el riesgo no se materializó y se viene cumpliendo las metas de recaudo trazadas. Se adjunta soporte de seguimiento al riesgo de recaudo establecido en el mapa de riesgos.</v>
      </c>
      <c r="F17" s="0" t="str">
        <f aca="false">IFERROR(__xludf.dummyfunction("""COMPUTED_VALUE"""),"Completo")</f>
        <v>Completo</v>
      </c>
      <c r="G17" s="0" t="str">
        <f aca="false">IFERROR(__xludf.dummyfunction("""COMPUTED_VALUE"""),"No")</f>
        <v>No</v>
      </c>
    </row>
    <row r="18" customFormat="false" ht="14.25" hidden="false" customHeight="false" outlineLevel="0" collapsed="false">
      <c r="A18" s="18" t="str">
        <f aca="false">IFERROR(MID(D18,1,FIND("|",D18)-1)&amp;"-"&amp;C18,"")</f>
        <v>AICI202117-1-1-2</v>
      </c>
      <c r="B18" s="19" t="n">
        <f aca="false">IFERROR(__xludf.dummyfunction("""COMPUTED_VALUE"""),44841)</f>
        <v>44841</v>
      </c>
      <c r="C18" s="0" t="n">
        <f aca="false">IFERROR(__xludf.dummyfunction("""COMPUTED_VALUE"""),2)</f>
        <v>2</v>
      </c>
      <c r="D18" s="0" t="str">
        <f aca="false">IFERROR(__xludf.dummyfunction("""COMPUTED_VALUE"""),"AICI202117-1-1| NA1 - realizar la conciliación mensual con el area de cartera y CERTIFICACIÓN de ingresos en conjunto con cartera y fuente de ... (19/abr/2022 - 30/abr/2022)")</f>
        <v>AICI202117-1-1| NA1 - realizar la conciliación mensual con el area de cartera y CERTIFICACIÓN de ingresos en conjunto con cartera y fuente de ... (19/abr/2022 - 30/abr/2022)</v>
      </c>
      <c r="E18" s="0" t="str">
        <f aca="false">IFERROR(__xludf.dummyfunction("""COMPUTED_VALUE"""),"Dentro de los soportes entregados por el area se evidencia actas de:
* conciliacion cierre de ingresos, de los meses de julio y agosto 2022, con asistencia de tesoreria, cartera y referente cuentas medicas
* certificación de ingresos en donde se evidencia"&amp;" el rubro presupuestal para los meses de enero, febrero y marzo")</f>
        <v>Dentro de los soportes entregados por el area se evidencia actas de:
* conciliacion cierre de ingresos, de los meses de julio y agosto 2022, con asistencia de tesoreria, cartera y referente cuentas medicas
* certificación de ingresos en donde se evidencia el rubro presupuestal para los meses de enero, febrero y marzo</v>
      </c>
      <c r="F18" s="0" t="str">
        <f aca="false">IFERROR(__xludf.dummyfunction("""COMPUTED_VALUE"""),"Completo")</f>
        <v>Completo</v>
      </c>
      <c r="G18" s="0" t="str">
        <f aca="false">IFERROR(__xludf.dummyfunction("""COMPUTED_VALUE"""),"Sí")</f>
        <v>Sí</v>
      </c>
    </row>
    <row r="19" customFormat="false" ht="14.25" hidden="false" customHeight="false" outlineLevel="0" collapsed="false">
      <c r="A19" s="18" t="str">
        <f aca="false">IFERROR(MID(D19,1,FIND("|",D19)-1)&amp;"-"&amp;C19,"")</f>
        <v>AICI202117-2-1-2</v>
      </c>
      <c r="B19" s="19" t="n">
        <f aca="false">IFERROR(__xludf.dummyfunction("""COMPUTED_VALUE"""),44841)</f>
        <v>44841</v>
      </c>
      <c r="C19" s="0" t="n">
        <f aca="false">IFERROR(__xludf.dummyfunction("""COMPUTED_VALUE"""),2)</f>
        <v>2</v>
      </c>
      <c r="D19" s="0" t="str">
        <f aca="false">IFERROR(__xludf.dummyfunction("""COMPUTED_VALUE"""),"AICI202117-2-1| NA - actas de capacitación como soporte a la elaboración de esta actividad (01/ene/2022 - 30/jun/2022)")</f>
        <v>AICI202117-2-1| NA - actas de capacitación como soporte a la elaboración de esta actividad (01/ene/2022 - 30/jun/2022)</v>
      </c>
      <c r="E19" s="0" t="str">
        <f aca="false">IFERROR(__xludf.dummyfunction("""COMPUTED_VALUE"""),"Se encuentran actas de capacitaciones a personal nuevo en el área de facturación:
* acta 17 de marzo 2022 se capacitan a 7 funcionarios
* diciembre del año 2021 se encuentran actas de capacitación de 10 personas que realizaron dicha capacitación.
Temas tr"&amp;"atados: instructivo manejo de caja, apertura de caja, recibos de caja, entrega de caja y traslado de caja, entrega de recaudo, cierre de caja ")</f>
        <v>Se encuentran actas de capacitaciones a personal nuevo en el área de facturación:
* acta 17 de marzo 2022 se capacitan a 7 funcionarios
* diciembre del año 2021 se encuentran actas de capacitación de 10 personas que realizaron dicha capacitación.
Temas tratados: instructivo manejo de caja, apertura de caja, recibos de caja, entrega de caja y traslado de caja, entrega de recaudo, cierre de caja </v>
      </c>
      <c r="F19" s="0" t="str">
        <f aca="false">IFERROR(__xludf.dummyfunction("""COMPUTED_VALUE"""),"Completo")</f>
        <v>Completo</v>
      </c>
      <c r="G19" s="0" t="str">
        <f aca="false">IFERROR(__xludf.dummyfunction("""COMPUTED_VALUE"""),"Sí")</f>
        <v>Sí</v>
      </c>
    </row>
    <row r="20" customFormat="false" ht="14.25" hidden="false" customHeight="false" outlineLevel="0" collapsed="false">
      <c r="A20" s="18" t="str">
        <f aca="false">IFERROR(MID(D20,1,FIND("|",D20)-1)&amp;"-"&amp;C20,"")</f>
        <v>AICI202117-3-1-2</v>
      </c>
      <c r="B20" s="19" t="n">
        <f aca="false">IFERROR(__xludf.dummyfunction("""COMPUTED_VALUE"""),44841)</f>
        <v>44841</v>
      </c>
      <c r="C20" s="0" t="n">
        <f aca="false">IFERROR(__xludf.dummyfunction("""COMPUTED_VALUE"""),2)</f>
        <v>2</v>
      </c>
      <c r="D20" s="0" t="str">
        <f aca="false">IFERROR(__xludf.dummyfunction("""COMPUTED_VALUE"""),"AICI202117-3-1| Revisar con los referentes de facturación de cada unidad y junto con la jefe de facturación y la dirección financiera la viabilidad ... (01/may/2022 - 30/jun/2022)")</f>
        <v>AICI202117-3-1| Revisar con los referentes de facturación de cada unidad y junto con la jefe de facturación y la dirección financiera la viabilidad ... (01/may/2022 - 30/jun/2022)</v>
      </c>
      <c r="E20" s="0" t="str">
        <f aca="false">IFERROR(__xludf.dummyfunction("""COMPUTED_VALUE"""),"A partir de este hallazgo se realiza mesa de trabajo entre las areas de facturación, cartera y tesorería donde se establecen compromisos y acciones dentro de las cuales se envía por parte de tesorero y jefe de facturación la instrucción por escrito a los "&amp;"cajeros principales y facturadores para garantizar el diligenciamiento del mismo y su integridad.
como soportes se encuentran actas de Reunión, requerimiento para el diligenciamiento del libro de recaudo,")</f>
        <v>A partir de este hallazgo se realiza mesa de trabajo entre las areas de facturación, cartera y tesorería donde se establecen compromisos y acciones dentro de las cuales se envía por parte de tesorero y jefe de facturación la instrucción por escrito a los cajeros principales y facturadores para garantizar el diligenciamiento del mismo y su integridad.
como soportes se encuentran actas de Reunión, requerimiento para el diligenciamiento del libro de recaudo,</v>
      </c>
      <c r="F20" s="0" t="str">
        <f aca="false">IFERROR(__xludf.dummyfunction("""COMPUTED_VALUE"""),"Completo")</f>
        <v>Completo</v>
      </c>
      <c r="G20" s="0" t="str">
        <f aca="false">IFERROR(__xludf.dummyfunction("""COMPUTED_VALUE"""),"Sí")</f>
        <v>Sí</v>
      </c>
    </row>
    <row r="21" customFormat="false" ht="14.25" hidden="false" customHeight="false" outlineLevel="0" collapsed="false">
      <c r="A21" s="18" t="str">
        <f aca="false">IFERROR(MID(D21,1,FIND("|",D21)-1)&amp;"-"&amp;C21,"")</f>
        <v>AICI202117-4-1-2</v>
      </c>
      <c r="B21" s="19" t="n">
        <f aca="false">IFERROR(__xludf.dummyfunction("""COMPUTED_VALUE"""),44841)</f>
        <v>44841</v>
      </c>
      <c r="C21" s="0" t="n">
        <f aca="false">IFERROR(__xludf.dummyfunction("""COMPUTED_VALUE"""),2)</f>
        <v>2</v>
      </c>
      <c r="D21" s="0" t="str">
        <f aca="false">IFERROR(__xludf.dummyfunction("""COMPUTED_VALUE"""),"AICI202117-4-1| Revisar con los referentes de facturación de cada unidad y junto con la jefe de facturación y la dirección financiera la viabilidad ... (01/may/2022 - 30/jun/2022)")</f>
        <v>AICI202117-4-1| Revisar con los referentes de facturación de cada unidad y junto con la jefe de facturación y la dirección financiera la viabilidad ... (01/may/2022 - 30/jun/2022)</v>
      </c>
      <c r="E21" s="0" t="str">
        <f aca="false">IFERROR(__xludf.dummyfunction("""COMPUTED_VALUE"""),"se realiza mesa de trabajo entre las areas de facturación, cartera y tesorería donde se establecen compromisos y acciones dentro de las cuales se envía por parte de tesorero y jefe de facturación la instrucción por escrito a los cajeros principales y fact"&amp;"uradores para garantizar el diligenciamiento del  libro de recaudo. ")</f>
        <v>se realiza mesa de trabajo entre las areas de facturación, cartera y tesorería donde se establecen compromisos y acciones dentro de las cuales se envía por parte de tesorero y jefe de facturación la instrucción por escrito a los cajeros principales y facturadores para garantizar el diligenciamiento del  libro de recaudo. </v>
      </c>
      <c r="F21" s="0" t="str">
        <f aca="false">IFERROR(__xludf.dummyfunction("""COMPUTED_VALUE"""),"Completo")</f>
        <v>Completo</v>
      </c>
      <c r="G21" s="0" t="str">
        <f aca="false">IFERROR(__xludf.dummyfunction("""COMPUTED_VALUE"""),"Sí")</f>
        <v>Sí</v>
      </c>
    </row>
    <row r="22" customFormat="false" ht="14.25" hidden="false" customHeight="false" outlineLevel="0" collapsed="false">
      <c r="A22" s="18" t="str">
        <f aca="false">IFERROR(MID(D22,1,FIND("|",D22)-1)&amp;"-"&amp;C22,"")</f>
        <v>AICI202117-5-1-2</v>
      </c>
      <c r="B22" s="19" t="n">
        <f aca="false">IFERROR(__xludf.dummyfunction("""COMPUTED_VALUE"""),44841)</f>
        <v>44841</v>
      </c>
      <c r="C22" s="0" t="n">
        <f aca="false">IFERROR(__xludf.dummyfunction("""COMPUTED_VALUE"""),2)</f>
        <v>2</v>
      </c>
      <c r="D22" s="0" t="str">
        <f aca="false">IFERROR(__xludf.dummyfunction("""COMPUTED_VALUE"""),"AICI202117-5-1| NA2 - realizar la conciliación mensual con el area de cartera y CERTIFICACIÓN de ingresos en conjunto con cartera y fuente de ... (19/abr/2022 - 30/abr/2022)")</f>
        <v>AICI202117-5-1| NA2 - realizar la conciliación mensual con el area de cartera y CERTIFICACIÓN de ingresos en conjunto con cartera y fuente de ... (19/abr/2022 - 30/abr/2022)</v>
      </c>
      <c r="E22" s="0" t="str">
        <f aca="false">IFERROR(__xludf.dummyfunction("""COMPUTED_VALUE"""),"Se realizan actas de conciliación y certificación de ingresos, los soportes son los mismo que presentan para la acción numero 1
Dentro de los soportes entregados por el área se evidencia actas de:
* conciliación cierre de ingresos, de los meses de julio y"&amp;" agosto 2022, con asistencia de tesorería, cartera y referente cuentas medicas
* certificación de ingresos en donde se evidencia el rubro presupuestal para los meses de enero, febrero y marzo")</f>
        <v>Se realizan actas de conciliación y certificación de ingresos, los soportes son los mismo que presentan para la acción numero 1
Dentro de los soportes entregados por el área se evidencia actas de:
* conciliación cierre de ingresos, de los meses de julio y agosto 2022, con asistencia de tesorería, cartera y referente cuentas medicas
* certificación de ingresos en donde se evidencia el rubro presupuestal para los meses de enero, febrero y marzo</v>
      </c>
      <c r="F22" s="0" t="str">
        <f aca="false">IFERROR(__xludf.dummyfunction("""COMPUTED_VALUE"""),"Completo")</f>
        <v>Completo</v>
      </c>
      <c r="G22" s="0" t="str">
        <f aca="false">IFERROR(__xludf.dummyfunction("""COMPUTED_VALUE"""),"Sí")</f>
        <v>Sí</v>
      </c>
    </row>
    <row r="23" customFormat="false" ht="14.25" hidden="false" customHeight="false" outlineLevel="0" collapsed="false">
      <c r="A23" s="18" t="str">
        <f aca="false">IFERROR(MID(D23,1,FIND("|",D23)-1)&amp;"-"&amp;C23,"")</f>
        <v>AICI202117-6-1-2</v>
      </c>
      <c r="B23" s="19" t="n">
        <f aca="false">IFERROR(__xludf.dummyfunction("""COMPUTED_VALUE"""),44841)</f>
        <v>44841</v>
      </c>
      <c r="C23" s="0" t="n">
        <f aca="false">IFERROR(__xludf.dummyfunction("""COMPUTED_VALUE"""),2)</f>
        <v>2</v>
      </c>
      <c r="D23" s="0" t="str">
        <f aca="false">IFERROR(__xludf.dummyfunction("""COMPUTED_VALUE"""),"AICI202117-6-1| NA3 - realizar la conciliación mensual con el area de cartera y CERTIFICACIÓN de ingresos en conjunto con cartera y fuente de ... (19/abr/2022 - 30/abr/2022)")</f>
        <v>AICI202117-6-1| NA3 - realizar la conciliación mensual con el area de cartera y CERTIFICACIÓN de ingresos en conjunto con cartera y fuente de ... (19/abr/2022 - 30/abr/2022)</v>
      </c>
      <c r="E23" s="0" t="str">
        <f aca="false">IFERROR(__xludf.dummyfunction("""COMPUTED_VALUE"""),"se realizan actas de conciliación y certificación de ingresos, los soportes son los mismo que presentan para la acción numero 1
Dentro de los soportes entregados por el area se evidencia actas de:
* conciliación cierre de ingresos, de los meses de julio y"&amp;" agosto 2022, con asistencia de tesorería, cartera y referente cuentas medicas
* certificación de ingresos en donde se evidencia el rubro presupuestal para los meses de enero, febrero y marzo")</f>
        <v>se realizan actas de conciliación y certificación de ingresos, los soportes son los mismo que presentan para la acción numero 1
Dentro de los soportes entregados por el area se evidencia actas de:
* conciliación cierre de ingresos, de los meses de julio y agosto 2022, con asistencia de tesorería, cartera y referente cuentas medicas
* certificación de ingresos en donde se evidencia el rubro presupuestal para los meses de enero, febrero y marzo</v>
      </c>
      <c r="F23" s="0" t="str">
        <f aca="false">IFERROR(__xludf.dummyfunction("""COMPUTED_VALUE"""),"Completo")</f>
        <v>Completo</v>
      </c>
      <c r="G23" s="0" t="str">
        <f aca="false">IFERROR(__xludf.dummyfunction("""COMPUTED_VALUE"""),"Sí")</f>
        <v>Sí</v>
      </c>
    </row>
    <row r="24" customFormat="false" ht="14.25" hidden="false" customHeight="false" outlineLevel="0" collapsed="false">
      <c r="A24" s="18" t="str">
        <f aca="false">IFERROR(MID(D24,1,FIND("|",D24)-1)&amp;"-"&amp;C24,"")</f>
        <v>AICI202117-7-1-2</v>
      </c>
      <c r="B24" s="19" t="n">
        <f aca="false">IFERROR(__xludf.dummyfunction("""COMPUTED_VALUE"""),44841)</f>
        <v>44841</v>
      </c>
      <c r="C24" s="0" t="n">
        <f aca="false">IFERROR(__xludf.dummyfunction("""COMPUTED_VALUE"""),2)</f>
        <v>2</v>
      </c>
      <c r="D24" s="0" t="str">
        <f aca="false">IFERROR(__xludf.dummyfunction("""COMPUTED_VALUE"""),"AICI202117-7-1| Realizar un inventario de las cajillas de seguridad para solicitar cambio de las que están dañadas y para solicitar nuevas en ... (01/may/2022 - 30/jun/2022)")</f>
        <v>AICI202117-7-1| Realizar un inventario de las cajillas de seguridad para solicitar cambio de las que están dañadas y para solicitar nuevas en ... (01/may/2022 - 30/jun/2022)</v>
      </c>
      <c r="E24" s="0" t="str">
        <f aca="false">IFERROR(__xludf.dummyfunction("""COMPUTED_VALUE"""),"En el primer seguimiento se estaba actualizando y verificando con el área de facturación y operaciones financieras el inventario final para solicitar mantenimiento de las que se puedan arreglar y cambio de las que se deban adquirir, no se evidencia un seg"&amp;"uimiento actualizado ni tampoco acta de Reunión programada el 12 de julio 2022. no se soporta la acción.")</f>
        <v>En el primer seguimiento se estaba actualizando y verificando con el área de facturación y operaciones financieras el inventario final para solicitar mantenimiento de las que se puedan arreglar y cambio de las que se deban adquirir, no se evidencia un seguimiento actualizado ni tampoco acta de Reunión programada el 12 de julio 2022. no se soporta la acción.</v>
      </c>
      <c r="F24" s="0" t="str">
        <f aca="false">IFERROR(__xludf.dummyfunction("""COMPUTED_VALUE"""),"Atrasado")</f>
        <v>Atrasado</v>
      </c>
    </row>
    <row r="25" customFormat="false" ht="14.25" hidden="false" customHeight="false" outlineLevel="0" collapsed="false">
      <c r="A25" s="18" t="str">
        <f aca="false">IFERROR(MID(D25,1,FIND("|",D25)-1)&amp;"-"&amp;C25,"")</f>
        <v>AICI202117-7-2-2</v>
      </c>
      <c r="B25" s="19" t="n">
        <f aca="false">IFERROR(__xludf.dummyfunction("""COMPUTED_VALUE"""),44841)</f>
        <v>44841</v>
      </c>
      <c r="C25" s="0" t="n">
        <f aca="false">IFERROR(__xludf.dummyfunction("""COMPUTED_VALUE"""),2)</f>
        <v>2</v>
      </c>
      <c r="D25" s="0" t="str">
        <f aca="false">IFERROR(__xludf.dummyfunction("""COMPUTED_VALUE"""),"AICI202117-7-2| Analizar en mesa de trabajo con la dirección financiera la viabilidad y la utilidad de establecer bases de caja para cada punto ... (01/may/2022 - 30/jun/2022)")</f>
        <v>AICI202117-7-2| Analizar en mesa de trabajo con la dirección financiera la viabilidad y la utilidad de establecer bases de caja para cada punto ... (01/may/2022 - 30/jun/2022)</v>
      </c>
      <c r="E25" s="0" t="str">
        <f aca="false">IFERROR(__xludf.dummyfunction("""COMPUTED_VALUE"""),"Se esta actualizando y verificando con el area de facturación y operaciones financieras el inventario final para solicitar mantenimiento de las que se puedan arreglar y cambio de las que se deban adquirir")</f>
        <v>Se esta actualizando y verificando con el area de facturación y operaciones financieras el inventario final para solicitar mantenimiento de las que se puedan arreglar y cambio de las que se deban adquirir</v>
      </c>
      <c r="F25" s="0" t="str">
        <f aca="false">IFERROR(__xludf.dummyfunction("""COMPUTED_VALUE"""),"Atrasado")</f>
        <v>Atrasado</v>
      </c>
    </row>
    <row r="26" customFormat="false" ht="14.25" hidden="false" customHeight="false" outlineLevel="0" collapsed="false">
      <c r="A26" s="18" t="str">
        <f aca="false">IFERROR(MID(D26,1,FIND("|",D26)-1)&amp;"-"&amp;C26,"")</f>
        <v>AICI202117-8-1-2</v>
      </c>
      <c r="B26" s="19" t="n">
        <f aca="false">IFERROR(__xludf.dummyfunction("""COMPUTED_VALUE"""),44841)</f>
        <v>44841</v>
      </c>
      <c r="C26" s="0" t="n">
        <f aca="false">IFERROR(__xludf.dummyfunction("""COMPUTED_VALUE"""),2)</f>
        <v>2</v>
      </c>
      <c r="D26" s="0" t="str">
        <f aca="false">IFERROR(__xludf.dummyfunction("""COMPUTED_VALUE"""),"AICI202117-8-1| Implementar conciliación de manera mensual con las unidades con el fin de validar los consecutivos utilizados y entregados para ... (01/jun/2022 - 30/jun/2022)")</f>
        <v>AICI202117-8-1| Implementar conciliación de manera mensual con las unidades con el fin de validar los consecutivos utilizados y entregados para ... (01/jun/2022 - 30/jun/2022)</v>
      </c>
      <c r="E26" s="0" t="str">
        <f aca="false">IFERROR(__xludf.dummyfunction("""COMPUTED_VALUE"""),"A partir de mayo de 2022 se cuenta con base de dato en Excel para el seguimiento de la serialización de pagarés remitidos a las unidades con el fin de guardar el orden y la relación entre lo reportado por facturación y lo registrado en cartera.
Por Otra p"&amp;"arte, el soporte de Conciliación se encuentra en proceso de revisión y entrega entre ambas partes para el mes de octubre de 2022.
Se adjunta soporte de la estructura de la base en Excel del control.
*Desde el primer seguimiento no se ha realizado ningún a"&amp;"vance adicional con los soportes para esta acción ")</f>
        <v>A partir de mayo de 2022 se cuenta con base de dato en Excel para el seguimiento de la serialización de pagarés remitidos a las unidades con el fin de guardar el orden y la relación entre lo reportado por facturación y lo registrado en cartera.
Por Otra parte, el soporte de Conciliación se encuentra en proceso de revisión y entrega entre ambas partes para el mes de octubre de 2022.
Se adjunta soporte de la estructura de la base en Excel del control.
*Desde el primer seguimiento no se ha realizado ningún avance adicional con los soportes para esta acción </v>
      </c>
      <c r="F26" s="0" t="str">
        <f aca="false">IFERROR(__xludf.dummyfunction("""COMPUTED_VALUE"""),"Atrasado")</f>
        <v>Atrasado</v>
      </c>
    </row>
    <row r="27" customFormat="false" ht="14.25" hidden="false" customHeight="false" outlineLevel="0" collapsed="false">
      <c r="A27" s="18" t="str">
        <f aca="false">IFERROR(MID(D27,1,FIND("|",D27)-1)&amp;"-"&amp;C27,"")</f>
        <v>AICI202117-9-1-2</v>
      </c>
      <c r="B27" s="19" t="n">
        <f aca="false">IFERROR(__xludf.dummyfunction("""COMPUTED_VALUE"""),44841)</f>
        <v>44841</v>
      </c>
      <c r="C27" s="0" t="n">
        <f aca="false">IFERROR(__xludf.dummyfunction("""COMPUTED_VALUE"""),2)</f>
        <v>2</v>
      </c>
      <c r="D27" s="0" t="str">
        <f aca="false">IFERROR(__xludf.dummyfunction("""COMPUTED_VALUE"""),"AICI202117-9-1| Implementar con prefijo por unidad y su respectivo consecutivo  para las unidades principales, de tal forma que facilite el control ... (01/jun/2022 - 30/jun/2022)")</f>
        <v>AICI202117-9-1| Implementar con prefijo por unidad y su respectivo consecutivo  para las unidades principales, de tal forma que facilite el control ... (01/jun/2022 - 30/jun/2022)</v>
      </c>
      <c r="E27" s="0" t="str">
        <f aca="false">IFERROR(__xludf.dummyfunction("""COMPUTED_VALUE"""),"A partir de mayo de 2022 se cuenta con base de dato en Excel para el seguimiento de la serialización de pagarés remitidos a las unidades con el fin de guardar el orden y la relación entre lo reportado por facturación y lo registrado en cartera.
Por Otra p"&amp;"arte, el soporte de Conciliación se encuentra en proceso de revisión y entrega entre ambas partes para el mes de octubre de 2022.
Se adjunta soporte de la estructura de la base en Excel del control.
*Desde el primer seguimiento no se ha realizado ningún a"&amp;"vance adicional con los soportes para esta acción ")</f>
        <v>A partir de mayo de 2022 se cuenta con base de dato en Excel para el seguimiento de la serialización de pagarés remitidos a las unidades con el fin de guardar el orden y la relación entre lo reportado por facturación y lo registrado en cartera.
Por Otra parte, el soporte de Conciliación se encuentra en proceso de revisión y entrega entre ambas partes para el mes de octubre de 2022.
Se adjunta soporte de la estructura de la base en Excel del control.
*Desde el primer seguimiento no se ha realizado ningún avance adicional con los soportes para esta acción </v>
      </c>
      <c r="F27" s="0" t="str">
        <f aca="false">IFERROR(__xludf.dummyfunction("""COMPUTED_VALUE"""),"Atrasado")</f>
        <v>Atrasado</v>
      </c>
    </row>
    <row r="28" customFormat="false" ht="14.25" hidden="false" customHeight="false" outlineLevel="0" collapsed="false">
      <c r="A28" s="18" t="str">
        <f aca="false">IFERROR(MID(D28,1,FIND("|",D28)-1)&amp;"-"&amp;C28,"")</f>
        <v>AICI202117-10-1-2</v>
      </c>
      <c r="B28" s="19" t="n">
        <f aca="false">IFERROR(__xludf.dummyfunction("""COMPUTED_VALUE"""),44841)</f>
        <v>44841</v>
      </c>
      <c r="C28" s="0" t="n">
        <f aca="false">IFERROR(__xludf.dummyfunction("""COMPUTED_VALUE"""),2)</f>
        <v>2</v>
      </c>
      <c r="D28" s="0" t="str">
        <f aca="false">IFERROR(__xludf.dummyfunction("""COMPUTED_VALUE"""),"AICI202117-10-1| Realizar mensualmente conciliación de pagarés entre el Facturación y Cartera (01/abr/2022 - 30/jun/2022)")</f>
        <v>AICI202117-10-1| Realizar mensualmente conciliación de pagarés entre el Facturación y Cartera (01/abr/2022 - 30/jun/2022)</v>
      </c>
      <c r="E28" s="0" t="str">
        <f aca="false">IFERROR(__xludf.dummyfunction("""COMPUTED_VALUE"""),"El área de facturación ha venido realizando actas de conciliación mensual de pagares con el área de cartera en pro de garantizar que la información reportada entre ambas partes sea única y homogénea.
No Se evidencian los soportes de las conciliaciones de"&amp;" pagares mensuales de julio, agosto 2022")</f>
        <v>El área de facturación ha venido realizando actas de conciliación mensual de pagares con el área de cartera en pro de garantizar que la información reportada entre ambas partes sea única y homogénea.
No Se evidencian los soportes de las conciliaciones de pagares mensuales de julio, agosto 2022</v>
      </c>
      <c r="F28" s="0" t="str">
        <f aca="false">IFERROR(__xludf.dummyfunction("""COMPUTED_VALUE"""),"Atrasado")</f>
        <v>Atrasado</v>
      </c>
    </row>
    <row r="29" customFormat="false" ht="14.25" hidden="false" customHeight="false" outlineLevel="0" collapsed="false">
      <c r="A29" s="18" t="str">
        <f aca="false">IFERROR(MID(D29,1,FIND("|",D29)-1)&amp;"-"&amp;C29,"")</f>
        <v>AICI202117-12-1-2</v>
      </c>
      <c r="B29" s="19" t="n">
        <f aca="false">IFERROR(__xludf.dummyfunction("""COMPUTED_VALUE"""),44841)</f>
        <v>44841</v>
      </c>
      <c r="C29" s="0" t="n">
        <f aca="false">IFERROR(__xludf.dummyfunction("""COMPUTED_VALUE"""),2)</f>
        <v>2</v>
      </c>
      <c r="D29" s="0" t="str">
        <f aca="false">IFERROR(__xludf.dummyfunction("""COMPUTED_VALUE"""),"AICI202117-12-1| Normalizar los instructivos (01/abr/2022 - 30/abr/2022)")</f>
        <v>AICI202117-12-1| Normalizar los instructivos (01/abr/2022 - 30/abr/2022)</v>
      </c>
      <c r="E29" s="0" t="str">
        <f aca="false">IFERROR(__xludf.dummyfunction("""COMPUTED_VALUE"""),"Se adjuntan Instructivo de pagares y conciliacion de pagares debidamente aprobados por la ofician de calidad
AP-GF-I-23-01-Conciliación pagares
AP-GF-I-24-01-Inventario de pagares
con fecha de normalización 05/07/2022. Se verifico en la pagina de la Subr"&amp;"ed Norte ESE. (Intranet)")</f>
        <v>Se adjuntan Instructivo de pagares y conciliacion de pagares debidamente aprobados por la ofician de calidad
AP-GF-I-23-01-Conciliación pagares
AP-GF-I-24-01-Inventario de pagares
con fecha de normalización 05/07/2022. Se verifico en la pagina de la Subred Norte ESE. (Intranet)</v>
      </c>
      <c r="F29" s="0" t="str">
        <f aca="false">IFERROR(__xludf.dummyfunction("""COMPUTED_VALUE"""),"Completo")</f>
        <v>Completo</v>
      </c>
      <c r="G29" s="0" t="str">
        <f aca="false">IFERROR(__xludf.dummyfunction("""COMPUTED_VALUE"""),"Sí")</f>
        <v>Sí</v>
      </c>
    </row>
    <row r="30" customFormat="false" ht="14.25" hidden="false" customHeight="false" outlineLevel="0" collapsed="false">
      <c r="A30" s="18" t="str">
        <f aca="false">IFERROR(MID(D30,1,FIND("|",D30)-1)&amp;"-"&amp;C30,"")</f>
        <v>AICI202117-7-1-3</v>
      </c>
      <c r="B30" s="19" t="n">
        <f aca="false">IFERROR(__xludf.dummyfunction("""COMPUTED_VALUE"""),44946)</f>
        <v>44946</v>
      </c>
      <c r="C30" s="0" t="n">
        <f aca="false">IFERROR(__xludf.dummyfunction("""COMPUTED_VALUE"""),3)</f>
        <v>3</v>
      </c>
      <c r="D30" s="0" t="str">
        <f aca="false">IFERROR(__xludf.dummyfunction("""COMPUTED_VALUE"""),"AICI202117-7-1| Realizar un inventario de las cajillas de seguridad para solicitar cambio de las que están dañadas y para solicitar nuevas en ... (01/may/2022 - 30/jun/2022)")</f>
        <v>AICI202117-7-1| Realizar un inventario de las cajillas de seguridad para solicitar cambio de las que están dañadas y para solicitar nuevas en ... (01/may/2022 - 30/jun/2022)</v>
      </c>
      <c r="E30" s="0" t="str">
        <f aca="false">IFERROR(__xludf.dummyfunction("""COMPUTED_VALUE"""),"No se evidencio en los documentos soportes enviados por parte de la Dirección Financiera, un inventario de cajillas de seguridad  que se hallan en poder de los facturadores y su respectivo estado. Lo anterior,  con el fin de realizar cambios  y así obtene"&amp;"r una seguridad del efectivo.")</f>
        <v>No se evidencio en los documentos soportes enviados por parte de la Dirección Financiera, un inventario de cajillas de seguridad  que se hallan en poder de los facturadores y su respectivo estado. Lo anterior,  con el fin de realizar cambios  y así obtener una seguridad del efectivo.</v>
      </c>
      <c r="F30" s="0" t="str">
        <f aca="false">IFERROR(__xludf.dummyfunction("""COMPUTED_VALUE"""),"Atrasado")</f>
        <v>Atrasado</v>
      </c>
    </row>
    <row r="31" customFormat="false" ht="14.25" hidden="false" customHeight="false" outlineLevel="0" collapsed="false">
      <c r="A31" s="18" t="str">
        <f aca="false">IFERROR(MID(D31,1,FIND("|",D31)-1)&amp;"-"&amp;C31,"")</f>
        <v>AICI202117-7-2-3</v>
      </c>
      <c r="B31" s="19" t="n">
        <f aca="false">IFERROR(__xludf.dummyfunction("""COMPUTED_VALUE"""),44946)</f>
        <v>44946</v>
      </c>
      <c r="C31" s="0" t="n">
        <f aca="false">IFERROR(__xludf.dummyfunction("""COMPUTED_VALUE"""),3)</f>
        <v>3</v>
      </c>
      <c r="D31" s="0" t="str">
        <f aca="false">IFERROR(__xludf.dummyfunction("""COMPUTED_VALUE"""),"AICI202117-7-2| Analizar en mesa de trabajo con la dirección financiera la viabilidad y la utilidad de establecer bases de caja para cada punto ... (01/may/2022 - 30/jun/2022)")</f>
        <v>AICI202117-7-2| Analizar en mesa de trabajo con la dirección financiera la viabilidad y la utilidad de establecer bases de caja para cada punto ... (01/may/2022 - 30/jun/2022)</v>
      </c>
      <c r="E31" s="0" t="str">
        <f aca="false">IFERROR(__xludf.dummyfunction("""COMPUTED_VALUE"""),"No se cierra dicho hallazgo debido a que en el documento soporte (acta) no se registra el tema de asignación de bases de caja para los facturadores en las diferentes unidades de servicio.")</f>
        <v>No se cierra dicho hallazgo debido a que en el documento soporte (acta) no se registra el tema de asignación de bases de caja para los facturadores en las diferentes unidades de servicio.</v>
      </c>
      <c r="F31" s="0" t="str">
        <f aca="false">IFERROR(__xludf.dummyfunction("""COMPUTED_VALUE"""),"Atrasado")</f>
        <v>Atrasado</v>
      </c>
    </row>
    <row r="32" customFormat="false" ht="14.25" hidden="false" customHeight="false" outlineLevel="0" collapsed="false">
      <c r="A32" s="18" t="str">
        <f aca="false">IFERROR(MID(D32,1,FIND("|",D32)-1)&amp;"-"&amp;C32,"")</f>
        <v>AICI202117-8-1-3</v>
      </c>
      <c r="B32" s="19" t="n">
        <f aca="false">IFERROR(__xludf.dummyfunction("""COMPUTED_VALUE"""),44946)</f>
        <v>44946</v>
      </c>
      <c r="C32" s="0" t="n">
        <f aca="false">IFERROR(__xludf.dummyfunction("""COMPUTED_VALUE"""),3)</f>
        <v>3</v>
      </c>
      <c r="D32" s="0" t="str">
        <f aca="false">IFERROR(__xludf.dummyfunction("""COMPUTED_VALUE"""),"AICI202117-8-1| Implementar conciliación de manera mensual con las unidades con el fin de validar los consecutivos utilizados y entregados para ... (01/jun/2022 - 30/jun/2022)")</f>
        <v>AICI202117-8-1| Implementar conciliación de manera mensual con las unidades con el fin de validar los consecutivos utilizados y entregados para ... (01/jun/2022 - 30/jun/2022)</v>
      </c>
      <c r="E32" s="0" t="str">
        <f aca="false">IFERROR(__xludf.dummyfunction("""COMPUTED_VALUE"""),"Se evidencia mediante los soportes remitidos a la oficina de control interno la gestiones de control implementadas desde el mes de agostos de 2022, no obstante con la puesta en funcionamiento del software de información Dinámica Gerencial  se tiene expect"&amp;"ativas en la generación de los pagares desde el sistema de información")</f>
        <v>Se evidencia mediante los soportes remitidos a la oficina de control interno la gestiones de control implementadas desde el mes de agostos de 2022, no obstante con la puesta en funcionamiento del software de información Dinámica Gerencial  se tiene expectativas en la generación de los pagares desde el sistema de información</v>
      </c>
      <c r="F32" s="0" t="str">
        <f aca="false">IFERROR(__xludf.dummyfunction("""COMPUTED_VALUE"""),"Completo")</f>
        <v>Completo</v>
      </c>
      <c r="G32" s="0" t="str">
        <f aca="false">IFERROR(__xludf.dummyfunction("""COMPUTED_VALUE"""),"Sí")</f>
        <v>Sí</v>
      </c>
    </row>
    <row r="33" customFormat="false" ht="14.25" hidden="false" customHeight="false" outlineLevel="0" collapsed="false">
      <c r="A33" s="18" t="str">
        <f aca="false">IFERROR(MID(D33,1,FIND("|",D33)-1)&amp;"-"&amp;C33,"")</f>
        <v>AICI202117-9-1-3</v>
      </c>
      <c r="B33" s="19" t="n">
        <f aca="false">IFERROR(__xludf.dummyfunction("""COMPUTED_VALUE"""),44946)</f>
        <v>44946</v>
      </c>
      <c r="C33" s="0" t="n">
        <f aca="false">IFERROR(__xludf.dummyfunction("""COMPUTED_VALUE"""),3)</f>
        <v>3</v>
      </c>
      <c r="D33" s="0" t="str">
        <f aca="false">IFERROR(__xludf.dummyfunction("""COMPUTED_VALUE"""),"AICI202117-9-1| Implementar con prefijo por unidad y su respectivo consecutivo  para las unidades principales, de tal forma que facilite el control ... (01/jun/2022 - 30/jun/2022)")</f>
        <v>AICI202117-9-1| Implementar con prefijo por unidad y su respectivo consecutivo  para las unidades principales, de tal forma que facilite el control ... (01/jun/2022 - 30/jun/2022)</v>
      </c>
      <c r="E33" s="0" t="str">
        <f aca="false">IFERROR(__xludf.dummyfunction("""COMPUTED_VALUE"""),"Teniendo en cuenta el archivo en excel enviado por parte de la Dirección Financiera, se observa  en la matriz de relación de pagares la unidad donde se originó este título de valor, de esta manera se subsana el hallazgo. No obstante con la implementación "&amp;"de dinamica se tiene la expectativa de que el sistema de información genera automáticamente los pagares con el prefijo de cada unidad, parametrización o lineamiento que debe suministrar el área de facturación. ")</f>
        <v>Teniendo en cuenta el archivo en excel enviado por parte de la Dirección Financiera, se observa  en la matriz de relación de pagares la unidad donde se originó este título de valor, de esta manera se subsana el hallazgo. No obstante con la implementación de dinamica se tiene la expectativa de que el sistema de información genera automáticamente los pagares con el prefijo de cada unidad, parametrización o lineamiento que debe suministrar el área de facturación. </v>
      </c>
      <c r="F33" s="0" t="str">
        <f aca="false">IFERROR(__xludf.dummyfunction("""COMPUTED_VALUE"""),"Completo")</f>
        <v>Completo</v>
      </c>
      <c r="G33" s="0" t="str">
        <f aca="false">IFERROR(__xludf.dummyfunction("""COMPUTED_VALUE"""),"Sí")</f>
        <v>Sí</v>
      </c>
    </row>
    <row r="34" customFormat="false" ht="14.25" hidden="false" customHeight="false" outlineLevel="0" collapsed="false">
      <c r="A34" s="18" t="str">
        <f aca="false">IFERROR(MID(D34,1,FIND("|",D34)-1)&amp;"-"&amp;C34,"")</f>
        <v>AICI202117-10-1-3</v>
      </c>
      <c r="B34" s="19" t="n">
        <f aca="false">IFERROR(__xludf.dummyfunction("""COMPUTED_VALUE"""),44946)</f>
        <v>44946</v>
      </c>
      <c r="C34" s="0" t="n">
        <f aca="false">IFERROR(__xludf.dummyfunction("""COMPUTED_VALUE"""),3)</f>
        <v>3</v>
      </c>
      <c r="D34" s="0" t="str">
        <f aca="false">IFERROR(__xludf.dummyfunction("""COMPUTED_VALUE"""),"AICI202117-10-1| Realizar mensualmente conciliación de pagarés entre el Facturación y Cartera (01/abr/2022 - 30/jun/2022)")</f>
        <v>AICI202117-10-1| Realizar mensualmente conciliación de pagarés entre el Facturación y Cartera (01/abr/2022 - 30/jun/2022)</v>
      </c>
      <c r="E34" s="0" t="str">
        <f aca="false">IFERROR(__xludf.dummyfunction("""COMPUTED_VALUE"""),"Continua este hallazgo en estado de atraso, debido a que no fue posible evidenciar en los soportes aportados, reportes generados desde el Sistema Servinte  (módulo de cartera y facturación) que permitan visualizar los registros de pagares emitidos en el m"&amp;"es o realizar cruce de información y/o saldos que permitan evidenciar la subsanación de esta observación.")</f>
        <v>Continua este hallazgo en estado de atraso, debido a que no fue posible evidenciar en los soportes aportados, reportes generados desde el Sistema Servinte  (módulo de cartera y facturación) que permitan visualizar los registros de pagares emitidos en el mes o realizar cruce de información y/o saldos que permitan evidenciar la subsanación de esta observación.</v>
      </c>
      <c r="F34" s="0" t="str">
        <f aca="false">IFERROR(__xludf.dummyfunction("""COMPUTED_VALUE"""),"Atrasado")</f>
        <v>Atrasado</v>
      </c>
    </row>
    <row r="35" customFormat="false" ht="14.25" hidden="false" customHeight="false" outlineLevel="0" collapsed="false">
      <c r="A35" s="18" t="str">
        <f aca="false">IFERROR(MID(D35,1,FIND("|",D35)-1)&amp;"-"&amp;C35,"")</f>
        <v>AICI202117-7-1-4</v>
      </c>
      <c r="B35" s="19" t="n">
        <f aca="false">IFERROR(__xludf.dummyfunction("""COMPUTED_VALUE"""),45029)</f>
        <v>45029</v>
      </c>
      <c r="C35" s="0" t="n">
        <f aca="false">IFERROR(__xludf.dummyfunction("""COMPUTED_VALUE"""),4)</f>
        <v>4</v>
      </c>
      <c r="D35" s="0" t="str">
        <f aca="false">IFERROR(__xludf.dummyfunction("""COMPUTED_VALUE"""),"AICI202117-7-1| Realizar un inventario de las cajillas de seguridad para solicitar cambio de las que están dañadas y para solicitar nuevas en ... (01/may/2022 - 30/jun/2022)")</f>
        <v>AICI202117-7-1| Realizar un inventario de las cajillas de seguridad para solicitar cambio de las que están dañadas y para solicitar nuevas en ... (01/may/2022 - 30/jun/2022)</v>
      </c>
      <c r="E35" s="0" t="str">
        <f aca="false">IFERROR(__xludf.dummyfunction("""COMPUTED_VALUE"""),"Se realizo el levantamiento del inventario de las cajillas de seguridad para los facturadores cajeros de la Subred Norte. En la sede de Engativa se cuenta con cajillas en todos los punto de facturación-recaudo. En la sedes de los Suba, Simón y Chapinero s"&amp;"e encuentran en espera de las mesas de ayuda. Pendiente realizar la solicitud de la compra de cajillas para los puntos que no cuentan con estas. Se realizo solicitud de apertura de cajas fuertes.")</f>
        <v>Se realizo el levantamiento del inventario de las cajillas de seguridad para los facturadores cajeros de la Subred Norte. En la sede de Engativa se cuenta con cajillas en todos los punto de facturación-recaudo. En la sedes de los Suba, Simón y Chapinero se encuentran en espera de las mesas de ayuda. Pendiente realizar la solicitud de la compra de cajillas para los puntos que no cuentan con estas. Se realizo solicitud de apertura de cajas fuertes.</v>
      </c>
      <c r="F35" s="0" t="str">
        <f aca="false">IFERROR(__xludf.dummyfunction("""COMPUTED_VALUE"""),"Completo")</f>
        <v>Completo</v>
      </c>
      <c r="G35" s="0" t="str">
        <f aca="false">IFERROR(__xludf.dummyfunction("""COMPUTED_VALUE"""),"Sí")</f>
        <v>Sí</v>
      </c>
    </row>
    <row r="36" customFormat="false" ht="14.25" hidden="false" customHeight="false" outlineLevel="0" collapsed="false">
      <c r="A36" s="18" t="str">
        <f aca="false">IFERROR(MID(D36,1,FIND("|",D36)-1)&amp;"-"&amp;C36,"")</f>
        <v>AICI202117-7-2-4</v>
      </c>
      <c r="B36" s="19" t="n">
        <f aca="false">IFERROR(__xludf.dummyfunction("""COMPUTED_VALUE"""),45029)</f>
        <v>45029</v>
      </c>
      <c r="C36" s="0" t="n">
        <f aca="false">IFERROR(__xludf.dummyfunction("""COMPUTED_VALUE"""),4)</f>
        <v>4</v>
      </c>
      <c r="D36" s="0" t="str">
        <f aca="false">IFERROR(__xludf.dummyfunction("""COMPUTED_VALUE"""),"AICI202117-7-2| Analizar en mesa de trabajo con la dirección financiera la viabilidad y la utilidad de establecer bases de caja para cada punto ... (01/may/2022 - 30/jun/2022)")</f>
        <v>AICI202117-7-2| Analizar en mesa de trabajo con la dirección financiera la viabilidad y la utilidad de establecer bases de caja para cada punto ... (01/may/2022 - 30/jun/2022)</v>
      </c>
      <c r="E36" s="0" t="str">
        <f aca="false">IFERROR(__xludf.dummyfunction("""COMPUTED_VALUE"""),"No se cierra dicho hallazgo debido a que  no se evidencio  soporte alguno (acta) en lo referente al tema de asignación de bases de caja para los facturadores en las diferentes unidades de servicio.")</f>
        <v>No se cierra dicho hallazgo debido a que  no se evidencio  soporte alguno (acta) en lo referente al tema de asignación de bases de caja para los facturadores en las diferentes unidades de servicio.</v>
      </c>
      <c r="F36" s="0" t="str">
        <f aca="false">IFERROR(__xludf.dummyfunction("""COMPUTED_VALUE"""),"Atrasado")</f>
        <v>Atrasado</v>
      </c>
    </row>
    <row r="37" customFormat="false" ht="14.25" hidden="false" customHeight="false" outlineLevel="0" collapsed="false">
      <c r="A37" s="18" t="str">
        <f aca="false">IFERROR(MID(D37,1,FIND("|",D37)-1)&amp;"-"&amp;C37,"")</f>
        <v>AICI202117-10-1-4</v>
      </c>
      <c r="B37" s="19" t="n">
        <f aca="false">IFERROR(__xludf.dummyfunction("""COMPUTED_VALUE"""),45029)</f>
        <v>45029</v>
      </c>
      <c r="C37" s="0" t="n">
        <f aca="false">IFERROR(__xludf.dummyfunction("""COMPUTED_VALUE"""),4)</f>
        <v>4</v>
      </c>
      <c r="D37" s="0" t="str">
        <f aca="false">IFERROR(__xludf.dummyfunction("""COMPUTED_VALUE"""),"AICI202117-10-1| Realizar mensualmente conciliación de pagarés entre el Facturación y Cartera (01/abr/2022 - 30/jun/2022)")</f>
        <v>AICI202117-10-1| Realizar mensualmente conciliación de pagarés entre el Facturación y Cartera (01/abr/2022 - 30/jun/2022)</v>
      </c>
      <c r="E37" s="0" t="str">
        <f aca="false">IFERROR(__xludf.dummyfunction("""COMPUTED_VALUE"""),"De acuerdo a las actas de conciliación de los meses últimos diciembre de 2022-enero y febrero de 2023, se realiza la conciliación con el área de cartera y facturación  dando como resultado soporte de conciliación de manera mensual ")</f>
        <v>De acuerdo a las actas de conciliación de los meses últimos diciembre de 2022-enero y febrero de 2023, se realiza la conciliación con el área de cartera y facturación  dando como resultado soporte de conciliación de manera mensual </v>
      </c>
      <c r="F37" s="0" t="str">
        <f aca="false">IFERROR(__xludf.dummyfunction("""COMPUTED_VALUE"""),"Completo")</f>
        <v>Completo</v>
      </c>
      <c r="G37" s="0" t="str">
        <f aca="false">IFERROR(__xludf.dummyfunction("""COMPUTED_VALUE"""),"Sí")</f>
        <v>Sí</v>
      </c>
    </row>
    <row r="38" customFormat="false" ht="14.25" hidden="false" customHeight="false" outlineLevel="0" collapsed="false">
      <c r="A38" s="18" t="str">
        <f aca="false">IFERROR(MID(D38,1,FIND("|",D38)-1)&amp;"-"&amp;C38,"")</f>
        <v>AICI202117-7-2-5</v>
      </c>
      <c r="B38" s="19" t="n">
        <f aca="false">IFERROR(__xludf.dummyfunction("""COMPUTED_VALUE"""),45119)</f>
        <v>45119</v>
      </c>
      <c r="C38" s="0" t="n">
        <f aca="false">IFERROR(__xludf.dummyfunction("""COMPUTED_VALUE"""),5)</f>
        <v>5</v>
      </c>
      <c r="D38" s="0" t="str">
        <f aca="false">IFERROR(__xludf.dummyfunction("""COMPUTED_VALUE"""),"AICI202117-7-2| Analizar en mesa de trabajo con la dirección financiera la viabilidad y la utilidad de establecer bases de caja para cada punto ... (01/may/2022 - 30/jun/2022)")</f>
        <v>AICI202117-7-2| Analizar en mesa de trabajo con la dirección financiera la viabilidad y la utilidad de establecer bases de caja para cada punto ... (01/may/2022 - 30/jun/2022)</v>
      </c>
      <c r="E38" s="0" t="str">
        <f aca="false">IFERROR(__xludf.dummyfunction("""COMPUTED_VALUE"""),"Se tuvo evidencia de mesa de trabajo (soportado en acta de fecha 12-05-2023)  de las áreas de tesorería, facturación y la dirección financiera cuyo orden del día involucra el tema relacionado con la asignación de base de cajas de facturación teniendo en c"&amp;"uenta los pro y contra al implementar este proceso . Al cierre de la reunión se determina no asignar la bases de caja.  ")</f>
        <v>Se tuvo evidencia de mesa de trabajo (soportado en acta de fecha 12-05-2023)  de las áreas de tesorería, facturación y la dirección financiera cuyo orden del día involucra el tema relacionado con la asignación de base de cajas de facturación teniendo en cuenta los pro y contra al implementar este proceso . Al cierre de la reunión se determina no asignar la bases de caja.  </v>
      </c>
      <c r="F38" s="0" t="str">
        <f aca="false">IFERROR(__xludf.dummyfunction("""COMPUTED_VALUE"""),"Completo")</f>
        <v>Completo</v>
      </c>
      <c r="G38" s="0" t="str">
        <f aca="false">IFERROR(__xludf.dummyfunction("""COMPUTED_VALUE"""),"Sí")</f>
        <v>Sí</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6.42"/>
  </cols>
  <sheetData>
    <row r="1" customFormat="false" ht="12.75" hidden="false" customHeight="false" outlineLevel="0" collapsed="false">
      <c r="A1" s="13" t="s">
        <v>1818</v>
      </c>
      <c r="B1" s="13" t="s">
        <v>1779</v>
      </c>
      <c r="C1" s="13" t="s">
        <v>1780</v>
      </c>
      <c r="D1" s="13" t="s">
        <v>1781</v>
      </c>
      <c r="E1" s="13" t="s">
        <v>1782</v>
      </c>
      <c r="F1" s="13" t="s">
        <v>1783</v>
      </c>
      <c r="G1" s="13" t="s">
        <v>1784</v>
      </c>
    </row>
    <row r="2" customFormat="false" ht="6.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AICI202001-1-1-1</v>
      </c>
      <c r="B4" s="19" t="n">
        <f aca="false">IFERROR(__xludf.dummyfunction("""COMPUTED_VALUE"""),44029)</f>
        <v>44029</v>
      </c>
      <c r="C4" s="0" t="n">
        <f aca="false">IFERROR(__xludf.dummyfunction("""COMPUTED_VALUE"""),1)</f>
        <v>1</v>
      </c>
      <c r="D4" s="0" t="str">
        <f aca="false">IFERROR(__xludf.dummyfunction("""COMPUTED_VALUE"""),"AICI202001-1-1| La oficina de sistemas de informacion - TIC remite a recursos fisicos el inventario depurado para realizarar conciliacion entre las dos areas (10/05/2020 - 31/12/2020)")</f>
        <v>AICI202001-1-1| La oficina de sistemas de informacion - TIC remite a recursos fisicos el inventario depurado para realizarar conciliacion entre las dos areas (10/05/2020 - 31/12/2020)</v>
      </c>
      <c r="E4" s="0" t="str">
        <f aca="false">IFERROR(__xludf.dummyfunction("""COMPUTED_VALUE"""),"Se realiza efectivamente el envio del inventario a activos fijos y se tiene los soportes, se verifica oficio de envio y base de datos")</f>
        <v>Se realiza efectivamente el envio del inventario a activos fijos y se tiene los soportes, se verifica oficio de envio y base de datos</v>
      </c>
      <c r="F4" s="0" t="str">
        <f aca="false">IFERROR(__xludf.dummyfunction("""COMPUTED_VALUE"""),"Completo")</f>
        <v>Completo</v>
      </c>
      <c r="G4" s="0" t="str">
        <f aca="false">IFERROR(__xludf.dummyfunction("""COMPUTED_VALUE"""),"https://drive.google.com/open?id=1aQA2ZWwRrM1AvUK_Tu5G9Tq7pje0u-gg, https://drive.google.com/open?id=1HzMniwJir7gRp6ACeWyen07ulULLHUhW")</f>
        <v>https://drive.google.com/open?id=1aQA2ZWwRrM1AvUK_Tu5G9Tq7pje0u-gg, https://drive.google.com/open?id=1HzMniwJir7gRp6ACeWyen07ulULLHUhW</v>
      </c>
    </row>
    <row r="5" customFormat="false" ht="14.25" hidden="false" customHeight="false" outlineLevel="0" collapsed="false">
      <c r="A5" s="18" t="str">
        <f aca="false">IFERROR(MID(D5,1,FIND("|",D5)-1)&amp;"-"&amp;C5,"")</f>
        <v>AICI202001-2-1-1</v>
      </c>
      <c r="B5" s="19" t="n">
        <f aca="false">IFERROR(__xludf.dummyfunction("""COMPUTED_VALUE"""),44029)</f>
        <v>44029</v>
      </c>
      <c r="C5" s="0" t="n">
        <f aca="false">IFERROR(__xludf.dummyfunction("""COMPUTED_VALUE"""),1)</f>
        <v>1</v>
      </c>
      <c r="D5" s="0" t="str">
        <f aca="false">IFERROR(__xludf.dummyfunction("""COMPUTED_VALUE"""),"AICI202001-2-1| Revisar, actualizar y ajustar en el Sistema de Información del inventario remitido por la oficina de Sistemas de Información (10/05/2020 - 31/12/2020)")</f>
        <v>AICI202001-2-1| Revisar, actualizar y ajustar en el Sistema de Información del inventario remitido por la oficina de Sistemas de Información (10/05/2020 - 31/12/2020)</v>
      </c>
      <c r="E5" s="0" t="str">
        <f aca="false">IFERROR(__xludf.dummyfunction("""COMPUTED_VALUE"""),"se verificara con activos fijos las accines  de verificacion y consiliacion de las bases de datos generadas")</f>
        <v>se verificara con activos fijos las accines  de verificacion y consiliacion de las bases de datos generadas</v>
      </c>
      <c r="F5" s="0" t="str">
        <f aca="false">IFERROR(__xludf.dummyfunction("""COMPUTED_VALUE"""),"En desarrollo")</f>
        <v>En desarrollo</v>
      </c>
      <c r="G5" s="0" t="str">
        <f aca="false">IFERROR(__xludf.dummyfunction("""COMPUTED_VALUE"""),"https://drive.google.com/open?id=1_lIwKd657ugRQWP11dpSHX3O5itdCERS, https://drive.google.com/open?id=16zE_n-EkHM6Q1yTQNU6uUmqqOMT93f5g")</f>
        <v>https://drive.google.com/open?id=1_lIwKd657ugRQWP11dpSHX3O5itdCERS, https://drive.google.com/open?id=16zE_n-EkHM6Q1yTQNU6uUmqqOMT93f5g</v>
      </c>
    </row>
    <row r="6" customFormat="false" ht="14.25" hidden="false" customHeight="false" outlineLevel="0" collapsed="false">
      <c r="A6" s="18" t="str">
        <f aca="false">IFERROR(MID(D6,1,FIND("|",D6)-1)&amp;"-"&amp;C6,"")</f>
        <v>AICI202001-3-1-1</v>
      </c>
      <c r="B6" s="19" t="n">
        <f aca="false">IFERROR(__xludf.dummyfunction("""COMPUTED_VALUE"""),44029)</f>
        <v>44029</v>
      </c>
      <c r="C6" s="0" t="n">
        <f aca="false">IFERROR(__xludf.dummyfunction("""COMPUTED_VALUE"""),1)</f>
        <v>1</v>
      </c>
      <c r="D6" s="0" t="str">
        <f aca="false">IFERROR(__xludf.dummyfunction("""COMPUTED_VALUE"""),"AICI202001-3-1| La oficina de sistemas de informacion - TIC remite a recursos fisicos el inventario de los equipos de la subred para que la oficina de activos fijos proceda al respectivo plaqueteo e inclusion en el sistema de informacion. (10/05/2020 - 31"&amp;"/12/2020)")</f>
        <v>AICI202001-3-1| La oficina de sistemas de informacion - TIC remite a recursos fisicos el inventario de los equipos de la subred para que la oficina de activos fijos proceda al respectivo plaqueteo e inclusion en el sistema de informacion. (10/05/2020 - 31/12/2020)</v>
      </c>
      <c r="E6" s="0" t="str">
        <f aca="false">IFERROR(__xludf.dummyfunction("""COMPUTED_VALUE"""),"Sistemas envio la base de datos al proceso de activos fisicos para que estos realicen el proceso de plaqueteo y actualizacion del sistema  ")</f>
        <v>Sistemas envio la base de datos al proceso de activos fisicos para que estos realicen el proceso de plaqueteo y actualizacion del sistema  </v>
      </c>
      <c r="F6" s="0" t="str">
        <f aca="false">IFERROR(__xludf.dummyfunction("""COMPUTED_VALUE"""),"En desarrollo")</f>
        <v>En desarrollo</v>
      </c>
    </row>
    <row r="7" customFormat="false" ht="14.25" hidden="false" customHeight="false" outlineLevel="0" collapsed="false">
      <c r="A7" s="18" t="str">
        <f aca="false">IFERROR(MID(D7,1,FIND("|",D7)-1)&amp;"-"&amp;C7,"")</f>
        <v>AICI202001-4-1-1</v>
      </c>
      <c r="B7" s="19" t="n">
        <f aca="false">IFERROR(__xludf.dummyfunction("""COMPUTED_VALUE"""),44029)</f>
        <v>44029</v>
      </c>
      <c r="C7" s="0" t="n">
        <f aca="false">IFERROR(__xludf.dummyfunction("""COMPUTED_VALUE"""),1)</f>
        <v>1</v>
      </c>
      <c r="D7" s="0" t="str">
        <f aca="false">IFERROR(__xludf.dummyfunction("""COMPUTED_VALUE"""),"AICI202001-4-1| La oficina de sistemas de información - TIC remite a recursos físicos el inventario de los equipos de la subred para que la oficina de activos fijos proceda a verificar las placas duplicadas y realice la replaquetización y los ajustes pert"&amp;"inentes al sistema para que controle la duplicidad de placas. (10/05/2020 - 31/12/2020)")</f>
        <v>AICI202001-4-1| La oficina de sistemas de información - TIC remite a recursos físicos el inventario de los equipos de la subred para que la oficina de activos fijos proceda a verificar las placas duplicadas y realice la replaquetización y los ajustes pertinentes al sistema para que controle la duplicidad de placas. (10/05/2020 - 31/12/2020)</v>
      </c>
      <c r="E7" s="0" t="str">
        <f aca="false">IFERROR(__xludf.dummyfunction("""COMPUTED_VALUE"""),"Sistemas envia la informacion del inventario al proceso de activos fisicos  para que ellos realicen el proceso de revisiòn de las placas duplicadas y se  proceda a plaquetizar nuevamente las duplivadas y se actualice el inventario")</f>
        <v>Sistemas envia la informacion del inventario al proceso de activos fisicos  para que ellos realicen el proceso de revisiòn de las placas duplicadas y se  proceda a plaquetizar nuevamente las duplivadas y se actualice el inventario</v>
      </c>
      <c r="F7" s="0" t="str">
        <f aca="false">IFERROR(__xludf.dummyfunction("""COMPUTED_VALUE"""),"En desarrollo")</f>
        <v>En desarrollo</v>
      </c>
    </row>
    <row r="8" customFormat="false" ht="14.25" hidden="false" customHeight="false" outlineLevel="0" collapsed="false">
      <c r="A8" s="18" t="str">
        <f aca="false">IFERROR(MID(D8,1,FIND("|",D8)-1)&amp;"-"&amp;C8,"")</f>
        <v>AICI202001-5-1-1</v>
      </c>
      <c r="B8" s="19" t="n">
        <f aca="false">IFERROR(__xludf.dummyfunction("""COMPUTED_VALUE"""),44029)</f>
        <v>44029</v>
      </c>
      <c r="C8" s="0" t="n">
        <f aca="false">IFERROR(__xludf.dummyfunction("""COMPUTED_VALUE"""),1)</f>
        <v>1</v>
      </c>
      <c r="D8" s="0" t="str">
        <f aca="false">IFERROR(__xludf.dummyfunction("""COMPUTED_VALUE"""),"AICI202001-5-1| Reforzar las placas con materiales adhesivos de mejor calidad y remarcar con tinta no borrable en sitios de poco contacto. (10/05/2020 - 30/04/2021)")</f>
        <v>AICI202001-5-1| Reforzar las placas con materiales adhesivos de mejor calidad y remarcar con tinta no borrable en sitios de poco contacto. (10/05/2020 - 30/04/2021)</v>
      </c>
      <c r="E8" s="0" t="str">
        <f aca="false">IFERROR(__xludf.dummyfunction("""COMPUTED_VALUE"""),"no se tiene informacion de inicio de la actividad ")</f>
        <v>no se tiene informacion de inicio de la actividad </v>
      </c>
      <c r="F8" s="0" t="str">
        <f aca="false">IFERROR(__xludf.dummyfunction("""COMPUTED_VALUE"""),"No iniciado")</f>
        <v>No iniciado</v>
      </c>
    </row>
    <row r="9" customFormat="false" ht="14.25" hidden="false" customHeight="false" outlineLevel="0" collapsed="false">
      <c r="A9" s="18" t="str">
        <f aca="false">IFERROR(MID(D9,1,FIND("|",D9)-1)&amp;"-"&amp;C9,"")</f>
        <v>AICI202001-6-1-1</v>
      </c>
      <c r="B9" s="19" t="n">
        <f aca="false">IFERROR(__xludf.dummyfunction("""COMPUTED_VALUE"""),44029)</f>
        <v>44029</v>
      </c>
      <c r="C9" s="0" t="n">
        <f aca="false">IFERROR(__xludf.dummyfunction("""COMPUTED_VALUE"""),1)</f>
        <v>1</v>
      </c>
      <c r="D9" s="0" t="str">
        <f aca="false">IFERROR(__xludf.dummyfunction("""COMPUTED_VALUE"""),"AICI202001-6-1| Se revalorizarán los equipos de computo que están en servicio y que se encuentran totalmente depreciados. (10/05/2020 - 30/04/2021)")</f>
        <v>AICI202001-6-1| Se revalorizarán los equipos de computo que están en servicio y que se encuentran totalmente depreciados. (10/05/2020 - 30/04/2021)</v>
      </c>
      <c r="E9" s="0" t="str">
        <f aca="false">IFERROR(__xludf.dummyfunction("""COMPUTED_VALUE"""),"se tiene pendiente generar  reunion al comite de inventarios  para verificar si se contrata un ente evaluador  que revalue estos equipos nuevamente para dar concepto tecnico y revalorizarlo en contabilidad,  o mirar otras opciones dentro del comite ")</f>
        <v>se tiene pendiente generar  reunion al comite de inventarios  para verificar si se contrata un ente evaluador  que revalue estos equipos nuevamente para dar concepto tecnico y revalorizarlo en contabilidad,  o mirar otras opciones dentro del comite </v>
      </c>
      <c r="F9" s="0" t="str">
        <f aca="false">IFERROR(__xludf.dummyfunction("""COMPUTED_VALUE"""),"En desarrollo")</f>
        <v>En desarrollo</v>
      </c>
    </row>
    <row r="10" customFormat="false" ht="14.25" hidden="false" customHeight="false" outlineLevel="0" collapsed="false">
      <c r="A10" s="18" t="str">
        <f aca="false">IFERROR(MID(D10,1,FIND("|",D10)-1)&amp;"-"&amp;C10,"")</f>
        <v>AICI202001-7-1-1</v>
      </c>
      <c r="B10" s="19" t="n">
        <f aca="false">IFERROR(__xludf.dummyfunction("""COMPUTED_VALUE"""),44029)</f>
        <v>44029</v>
      </c>
      <c r="C10" s="0" t="n">
        <f aca="false">IFERROR(__xludf.dummyfunction("""COMPUTED_VALUE"""),1)</f>
        <v>1</v>
      </c>
      <c r="D10" s="0" t="str">
        <f aca="false">IFERROR(__xludf.dummyfunction("""COMPUTED_VALUE"""),"AICI202001-7-1| Implementacion en todos equipos de computo de la Subred Norte de la herramienta FusionInventory para tener un control avanzado del inventario a traves GLPI (01/05/2020 - 31/12/2020)")</f>
        <v>AICI202001-7-1| Implementacion en todos equipos de computo de la Subred Norte de la herramienta FusionInventory para tener un control avanzado del inventario a traves GLPI (01/05/2020 - 31/12/2020)</v>
      </c>
      <c r="E10" s="0" t="str">
        <f aca="false">IFERROR(__xludf.dummyfunction("""COMPUTED_VALUE"""),"Al corte se han instalado en la mesa de servicios  la herramienta de fusioninventory a  un total  de 1075  equipos  dando  un cumplimiento del 48% se tiene soportes de instalacion  ")</f>
        <v>Al corte se han instalado en la mesa de servicios  la herramienta de fusioninventory a  un total  de 1075  equipos  dando  un cumplimiento del 48% se tiene soportes de instalacion  </v>
      </c>
      <c r="F10" s="0" t="str">
        <f aca="false">IFERROR(__xludf.dummyfunction("""COMPUTED_VALUE"""),"En desarrollo")</f>
        <v>En desarrollo</v>
      </c>
      <c r="G10" s="0" t="str">
        <f aca="false">IFERROR(__xludf.dummyfunction("""COMPUTED_VALUE"""),"https://drive.google.com/open?id=1tOp4yr2RdpC9PK7q2rknEieXivQNE7Va, https://drive.google.com/open?id=1rUKxegO1Xx7k9_IIcsGeBXI0zm9N9zZt, https://drive.google.com/open?id=1aoRCu6XWHiTL5vQs3Z_0M4e9MmjtZJON, https://drive.google.com/open?id=1dXyyUYkqpukTeI6ci"&amp;"YeOAHDvN6ZUct0i, https://drive.google.com/open?id=1NR0qls0w8Jwf64RJle--K1J2jHR0nGqf")</f>
        <v>https://drive.google.com/open?id=1tOp4yr2RdpC9PK7q2rknEieXivQNE7Va, https://drive.google.com/open?id=1rUKxegO1Xx7k9_IIcsGeBXI0zm9N9zZt, https://drive.google.com/open?id=1aoRCu6XWHiTL5vQs3Z_0M4e9MmjtZJON, https://drive.google.com/open?id=1dXyyUYkqpukTeI6ciYeOAHDvN6ZUct0i, https://drive.google.com/open?id=1NR0qls0w8Jwf64RJle--K1J2jHR0nGqf</v>
      </c>
    </row>
    <row r="11" customFormat="false" ht="14.25" hidden="false" customHeight="false" outlineLevel="0" collapsed="false">
      <c r="A11" s="18" t="str">
        <f aca="false">IFERROR(MID(D11,1,FIND("|",D11)-1)&amp;"-"&amp;C11,"")</f>
        <v>AICI202001-8-1-1</v>
      </c>
      <c r="B11" s="19" t="n">
        <f aca="false">IFERROR(__xludf.dummyfunction("""COMPUTED_VALUE"""),44029)</f>
        <v>44029</v>
      </c>
      <c r="C11" s="0" t="n">
        <f aca="false">IFERROR(__xludf.dummyfunction("""COMPUTED_VALUE"""),1)</f>
        <v>1</v>
      </c>
      <c r="D11" s="0" t="str">
        <f aca="false">IFERROR(__xludf.dummyfunction("""COMPUTED_VALUE"""),"AICI202001-8-1| Aplicar los controles establecidos en el Riesgo 5. Software obsoleto o no licenciado del mapa de riesgos de la vigencia 2020. (01/05/2020 - 31/12/2020)")</f>
        <v>AICI202001-8-1| Aplicar los controles establecidos en el Riesgo 5. Software obsoleto o no licenciado del mapa de riesgos de la vigencia 2020. (01/05/2020 - 31/12/2020)</v>
      </c>
      <c r="E11" s="0" t="str">
        <f aca="false">IFERROR(__xludf.dummyfunction("""COMPUTED_VALUE"""),"Se informa que se dan de baja a equipos de computo con licenciamiento de windows vista  se tiene soporte de los reportes de bajas  se continuara realizando este proceso de dar de baja")</f>
        <v>Se informa que se dan de baja a equipos de computo con licenciamiento de windows vista  se tiene soporte de los reportes de bajas  se continuara realizando este proceso de dar de baja</v>
      </c>
      <c r="F11" s="0" t="str">
        <f aca="false">IFERROR(__xludf.dummyfunction("""COMPUTED_VALUE"""),"En desarrollo")</f>
        <v>En desarrollo</v>
      </c>
      <c r="G11" s="0" t="str">
        <f aca="false">IFERROR(__xludf.dummyfunction("""COMPUTED_VALUE"""),"https://drive.google.com/open?id=1SdltYdiqQf7peUwxV26UTaO1NN313IDj, https://drive.google.com/open?id=1UC4opIDDmfp47pJM_Jpv4eLopZYTEcPC, https://drive.google.com/open?id=1V_OaMKxEwLO-XAfWRr7ObNnEXMiOeF8e, https://drive.google.com/open?id=1xJBTaVrKiOVxOLdWd"&amp;"VJ0nxOWM6JNinMT, https://drive.google.com/open?id=1P5y2yKe5FaoABYcAGpMYZRWNlz7zEqJA")</f>
        <v>https://drive.google.com/open?id=1SdltYdiqQf7peUwxV26UTaO1NN313IDj, https://drive.google.com/open?id=1UC4opIDDmfp47pJM_Jpv4eLopZYTEcPC, https://drive.google.com/open?id=1V_OaMKxEwLO-XAfWRr7ObNnEXMiOeF8e, https://drive.google.com/open?id=1xJBTaVrKiOVxOLdWdVJ0nxOWM6JNinMT, https://drive.google.com/open?id=1P5y2yKe5FaoABYcAGpMYZRWNlz7zEqJA</v>
      </c>
    </row>
    <row r="12" customFormat="false" ht="14.25" hidden="false" customHeight="false" outlineLevel="0" collapsed="false">
      <c r="A12" s="18" t="str">
        <f aca="false">IFERROR(MID(D12,1,FIND("|",D12)-1)&amp;"-"&amp;C12,"")</f>
        <v>AICI202001-9-1-1</v>
      </c>
      <c r="B12" s="19" t="n">
        <f aca="false">IFERROR(__xludf.dummyfunction("""COMPUTED_VALUE"""),44029)</f>
        <v>44029</v>
      </c>
      <c r="C12" s="0" t="n">
        <f aca="false">IFERROR(__xludf.dummyfunction("""COMPUTED_VALUE"""),1)</f>
        <v>1</v>
      </c>
      <c r="D12" s="0" t="str">
        <f aca="false">IFERROR(__xludf.dummyfunction("""COMPUTED_VALUE"""),"AICI202001-9-1| Upgrade de los sistemas operativos windows 7 (01/06/2020 - 31/12/2020)")</f>
        <v>AICI202001-9-1| Upgrade de los sistemas operativos windows 7 (01/06/2020 - 31/12/2020)</v>
      </c>
      <c r="E12" s="0" t="str">
        <f aca="false">IFERROR(__xludf.dummyfunction("""COMPUTED_VALUE"""),"Se esta realizando el Upgrade para la pasar los equipos de windows 7 a windows 10  pendiente los soportes ")</f>
        <v>Se esta realizando el Upgrade para la pasar los equipos de windows 7 a windows 10  pendiente los soportes </v>
      </c>
      <c r="F12" s="0" t="str">
        <f aca="false">IFERROR(__xludf.dummyfunction("""COMPUTED_VALUE"""),"En desarrollo")</f>
        <v>En desarrollo</v>
      </c>
      <c r="G12" s="20" t="str">
        <f aca="false">IFERROR(__xludf.dummyfunction("""COMPUTED_VALUE"""),"https://drive.google.com/open?id=1NDFAuhnygGqUtmq-yvbEbSvFQfuQcSZf")</f>
        <v>https://drive.google.com/open?id=1NDFAuhnygGqUtmq-yvbEbSvFQfuQcSZf</v>
      </c>
    </row>
    <row r="13" customFormat="false" ht="14.25" hidden="false" customHeight="false" outlineLevel="0" collapsed="false">
      <c r="A13" s="18" t="str">
        <f aca="false">IFERROR(MID(D13,1,FIND("|",D13)-1)&amp;"-"&amp;C13,"")</f>
        <v>AICI202001-9-2-1</v>
      </c>
      <c r="B13" s="19" t="n">
        <f aca="false">IFERROR(__xludf.dummyfunction("""COMPUTED_VALUE"""),44029)</f>
        <v>44029</v>
      </c>
      <c r="C13" s="0" t="n">
        <f aca="false">IFERROR(__xludf.dummyfunction("""COMPUTED_VALUE"""),1)</f>
        <v>1</v>
      </c>
      <c r="D13" s="0" t="str">
        <f aca="false">IFERROR(__xludf.dummyfunction("""COMPUTED_VALUE"""),"AICI202001-9-2| Reposicion de los equipos con sistema operativo windows Vista y XP. (01/06/2020 - 31/12/2020)")</f>
        <v>AICI202001-9-2| Reposicion de los equipos con sistema operativo windows Vista y XP. (01/06/2020 - 31/12/2020)</v>
      </c>
      <c r="E13" s="0" t="str">
        <f aca="false">IFERROR(__xludf.dummyfunction("""COMPUTED_VALUE"""),"se han venido dando de baja las maquinas con sistemas operativos  vista  pendiente los XP, se determinara un plan  para darle soluciòn  a las maquinas con sistemas operativos obsoletos que no puedan ser actualizadas pendientes soportes")</f>
        <v>se han venido dando de baja las maquinas con sistemas operativos  vista  pendiente los XP, se determinara un plan  para darle soluciòn  a las maquinas con sistemas operativos obsoletos que no puedan ser actualizadas pendientes soportes</v>
      </c>
      <c r="F13" s="0" t="str">
        <f aca="false">IFERROR(__xludf.dummyfunction("""COMPUTED_VALUE"""),"En desarrollo")</f>
        <v>En desarrollo</v>
      </c>
    </row>
    <row r="14" customFormat="false" ht="14.25" hidden="false" customHeight="false" outlineLevel="0" collapsed="false">
      <c r="A14" s="18" t="str">
        <f aca="false">IFERROR(MID(D14,1,FIND("|",D14)-1)&amp;"-"&amp;C14,"")</f>
        <v>AICI202001-1-1-2</v>
      </c>
      <c r="B14" s="19" t="n">
        <f aca="false">IFERROR(__xludf.dummyfunction("""COMPUTED_VALUE"""),44169)</f>
        <v>44169</v>
      </c>
      <c r="C14" s="0" t="n">
        <f aca="false">IFERROR(__xludf.dummyfunction("""COMPUTED_VALUE"""),2)</f>
        <v>2</v>
      </c>
      <c r="D14" s="0" t="str">
        <f aca="false">IFERROR(__xludf.dummyfunction("""COMPUTED_VALUE"""),"AICI202001-1-1| La oficina de sistemas de informacion - TIC remite a recursos fisicos el inventario depurado para realizarar conciliacion entre las dos areas (10/05/2020 - 31/12/2020)")</f>
        <v>AICI202001-1-1| La oficina de sistemas de informacion - TIC remite a recursos fisicos el inventario depurado para realizarar conciliacion entre las dos areas (10/05/2020 - 31/12/2020)</v>
      </c>
      <c r="E14" s="0" t="str">
        <f aca="false">IFERROR(__xludf.dummyfunction("""COMPUTED_VALUE"""),"Desde el seguimiento anterior la acción ya esta completa")</f>
        <v>Desde el seguimiento anterior la acción ya esta completa</v>
      </c>
      <c r="F14" s="0" t="str">
        <f aca="false">IFERROR(__xludf.dummyfunction("""COMPUTED_VALUE"""),"Completo")</f>
        <v>Completo</v>
      </c>
      <c r="G14" s="20" t="str">
        <f aca="false">IFERROR(__xludf.dummyfunction("""COMPUTED_VALUE"""),"https://drive.google.com/open?id=1j_VZzLb2IFMpeCUEsEkep3Kpv6jcGRQV")</f>
        <v>https://drive.google.com/open?id=1j_VZzLb2IFMpeCUEsEkep3Kpv6jcGRQV</v>
      </c>
    </row>
    <row r="15" customFormat="false" ht="14.25" hidden="false" customHeight="false" outlineLevel="0" collapsed="false">
      <c r="A15" s="18" t="str">
        <f aca="false">IFERROR(MID(D15,1,FIND("|",D15)-1)&amp;"-"&amp;C15,"")</f>
        <v>AICI202001-2-1-2</v>
      </c>
      <c r="B15" s="19" t="n">
        <f aca="false">IFERROR(__xludf.dummyfunction("""COMPUTED_VALUE"""),44169)</f>
        <v>44169</v>
      </c>
      <c r="C15" s="0" t="n">
        <f aca="false">IFERROR(__xludf.dummyfunction("""COMPUTED_VALUE"""),2)</f>
        <v>2</v>
      </c>
      <c r="D15" s="0" t="str">
        <f aca="false">IFERROR(__xludf.dummyfunction("""COMPUTED_VALUE"""),"AICI202001-2-1| Revisar, actualizar y ajustar en el Sistema de Información del inventario remitido por la oficina de Sistemas de Información (10/05/2020 - 31/12/2020)")</f>
        <v>AICI202001-2-1| Revisar, actualizar y ajustar en el Sistema de Información del inventario remitido por la oficina de Sistemas de Información (10/05/2020 - 31/12/2020)</v>
      </c>
      <c r="E15" s="0" t="str">
        <f aca="false">IFERROR(__xludf.dummyfunction("""COMPUTED_VALUE"""),"Se esta realizando el inventarios de los equipos donde se realiza un diagnóstico general de hardware y software sin embargo los tiempos están demorados por traslados y temas de  pandemia se solicita ampliación para Febrero de 2021 para poder realizar la a"&amp;"decuada conciliación con activos fijos")</f>
        <v>Se esta realizando el inventarios de los equipos donde se realiza un diagnóstico general de hardware y software sin embargo los tiempos están demorados por traslados y temas de  pandemia se solicita ampliación para Febrero de 2021 para poder realizar la adecuada conciliación con activos fijos</v>
      </c>
      <c r="F15" s="0" t="str">
        <f aca="false">IFERROR(__xludf.dummyfunction("""COMPUTED_VALUE"""),"En desarrollo")</f>
        <v>En desarrollo</v>
      </c>
      <c r="G15" s="20" t="str">
        <f aca="false">IFERROR(__xludf.dummyfunction("""COMPUTED_VALUE"""),"https://drive.google.com/open?id=1sZDzL_GOqKpLKyPEAtjbk9DG8tR-ksLb")</f>
        <v>https://drive.google.com/open?id=1sZDzL_GOqKpLKyPEAtjbk9DG8tR-ksLb</v>
      </c>
    </row>
    <row r="16" customFormat="false" ht="14.25" hidden="false" customHeight="false" outlineLevel="0" collapsed="false">
      <c r="A16" s="18" t="str">
        <f aca="false">IFERROR(MID(D16,1,FIND("|",D16)-1)&amp;"-"&amp;C16,"")</f>
        <v>AICI202001-3-1-2</v>
      </c>
      <c r="B16" s="19" t="n">
        <f aca="false">IFERROR(__xludf.dummyfunction("""COMPUTED_VALUE"""),44169)</f>
        <v>44169</v>
      </c>
      <c r="C16" s="0" t="n">
        <f aca="false">IFERROR(__xludf.dummyfunction("""COMPUTED_VALUE"""),2)</f>
        <v>2</v>
      </c>
      <c r="D16" s="0" t="str">
        <f aca="false">IFERROR(__xludf.dummyfunction("""COMPUTED_VALUE"""),"AICI202001-3-1| La oficina de sistemas de informacion - TIC remite a recursos fisicos el inventario de los equipos de la subred para que la oficina de activos fijos proceda al respectivo plaqueteo e inclusion en el sistema de informacion. (10/05/2020 - 31"&amp;"/12/2020)")</f>
        <v>AICI202001-3-1| La oficina de sistemas de informacion - TIC remite a recursos fisicos el inventario de los equipos de la subred para que la oficina de activos fijos proceda al respectivo plaqueteo e inclusion en el sistema de informacion. (10/05/2020 - 31/12/2020)</v>
      </c>
      <c r="E16" s="0" t="str">
        <f aca="false">IFERROR(__xludf.dummyfunction("""COMPUTED_VALUE"""),"Se estan realizando reuniones de Sistemas junto con Activos Fijos para realizar revision de los equipos sin placa y se concilia nuevamente, ademas se realizan el plaqueteo a los equipos que se van revisando , pendiente continuar con los otros puntos  hay "&amp;"evidencia en Simon Bolivar se solicita plazo para febrero 2021")</f>
        <v>Se estan realizando reuniones de Sistemas junto con Activos Fijos para realizar revision de los equipos sin placa y se concilia nuevamente, ademas se realizan el plaqueteo a los equipos que se van revisando , pendiente continuar con los otros puntos  hay evidencia en Simon Bolivar se solicita plazo para febrero 2021</v>
      </c>
      <c r="F16" s="0" t="str">
        <f aca="false">IFERROR(__xludf.dummyfunction("""COMPUTED_VALUE"""),"En desarrollo")</f>
        <v>En desarrollo</v>
      </c>
      <c r="G16" s="20" t="str">
        <f aca="false">IFERROR(__xludf.dummyfunction("""COMPUTED_VALUE"""),"https://drive.google.com/open?id=18OyZpSs1FilQGTRbf1FDTu7hr59l6Eze")</f>
        <v>https://drive.google.com/open?id=18OyZpSs1FilQGTRbf1FDTu7hr59l6Eze</v>
      </c>
    </row>
    <row r="17" customFormat="false" ht="14.25" hidden="false" customHeight="false" outlineLevel="0" collapsed="false">
      <c r="A17" s="18" t="str">
        <f aca="false">IFERROR(MID(D17,1,FIND("|",D17)-1)&amp;"-"&amp;C17,"")</f>
        <v>AICI202001-4-1-2</v>
      </c>
      <c r="B17" s="19" t="n">
        <f aca="false">IFERROR(__xludf.dummyfunction("""COMPUTED_VALUE"""),44169)</f>
        <v>44169</v>
      </c>
      <c r="C17" s="0" t="n">
        <f aca="false">IFERROR(__xludf.dummyfunction("""COMPUTED_VALUE"""),2)</f>
        <v>2</v>
      </c>
      <c r="D17" s="0" t="str">
        <f aca="false">IFERROR(__xludf.dummyfunction("""COMPUTED_VALUE"""),"AICI202001-4-1| La oficina de sistemas de información - TIC remite a recursos físicos el inventario de los equipos de la subred para que la oficina de activos fijos proceda a verificar las placas duplicadas y realice la replaquetización y los ajustes pert"&amp;"inentes al sistema para que controle la duplicidad de placas. (10/05/2020 - 31/12/2020)")</f>
        <v>AICI202001-4-1| La oficina de sistemas de información - TIC remite a recursos físicos el inventario de los equipos de la subred para que la oficina de activos fijos proceda a verificar las placas duplicadas y realice la replaquetización y los ajustes pertinentes al sistema para que controle la duplicidad de placas. (10/05/2020 - 31/12/2020)</v>
      </c>
      <c r="E17" s="0" t="str">
        <f aca="false">IFERROR(__xludf.dummyfunction("""COMPUTED_VALUE"""),"Se están realizando reuniones de Sistemas junto con Activos Fijos para realizar revisión de los equipos con placa duplicada y se concilia nuevamente, ademas se realizan el plaqueteo a los equipos que se van revisando , pendiente continuar con los otros pu"&amp;"ntos  hay evidencia en Simon Bolivar se solicita plazo para febrero 2021  se coordinara entre las 2 oficinas para que al momento de ingreso o transferencia de equipos  no se generen la duplicidad de placas")</f>
        <v>Se están realizando reuniones de Sistemas junto con Activos Fijos para realizar revisión de los equipos con placa duplicada y se concilia nuevamente, ademas se realizan el plaqueteo a los equipos que se van revisando , pendiente continuar con los otros puntos  hay evidencia en Simon Bolivar se solicita plazo para febrero 2021  se coordinara entre las 2 oficinas para que al momento de ingreso o transferencia de equipos  no se generen la duplicidad de placas</v>
      </c>
      <c r="F17" s="0" t="str">
        <f aca="false">IFERROR(__xludf.dummyfunction("""COMPUTED_VALUE"""),"En desarrollo")</f>
        <v>En desarrollo</v>
      </c>
      <c r="G17" s="20" t="str">
        <f aca="false">IFERROR(__xludf.dummyfunction("""COMPUTED_VALUE"""),"https://drive.google.com/open?id=1ZbF6RIZyuqO9dLKDLQ5m8-ll3qXX0pDb")</f>
        <v>https://drive.google.com/open?id=1ZbF6RIZyuqO9dLKDLQ5m8-ll3qXX0pDb</v>
      </c>
    </row>
    <row r="18" customFormat="false" ht="14.25" hidden="false" customHeight="false" outlineLevel="0" collapsed="false">
      <c r="A18" s="18" t="str">
        <f aca="false">IFERROR(MID(D18,1,FIND("|",D18)-1)&amp;"-"&amp;C18,"")</f>
        <v>AICI202001-5-1-2</v>
      </c>
      <c r="B18" s="19" t="n">
        <f aca="false">IFERROR(__xludf.dummyfunction("""COMPUTED_VALUE"""),44169)</f>
        <v>44169</v>
      </c>
      <c r="C18" s="0" t="n">
        <f aca="false">IFERROR(__xludf.dummyfunction("""COMPUTED_VALUE"""),2)</f>
        <v>2</v>
      </c>
      <c r="D18" s="0" t="str">
        <f aca="false">IFERROR(__xludf.dummyfunction("""COMPUTED_VALUE"""),"AICI202001-5-1| Reforzar las placas con materiales adhesivos de mejor calidad y remarcar con tinta no borrable en sitios de poco contacto. (10/05/2020 - 30/04/2021)")</f>
        <v>AICI202001-5-1| Reforzar las placas con materiales adhesivos de mejor calidad y remarcar con tinta no borrable en sitios de poco contacto. (10/05/2020 - 30/04/2021)</v>
      </c>
      <c r="E18" s="0" t="str">
        <f aca="false">IFERROR(__xludf.dummyfunction("""COMPUTED_VALUE"""),"Se inició reforzamiento de las placas con papel contac para evitar el deterioro de la placa y el daño por la limpieza, se adjunta evidencia de colocación del papel contac")</f>
        <v>Se inició reforzamiento de las placas con papel contac para evitar el deterioro de la placa y el daño por la limpieza, se adjunta evidencia de colocación del papel contac</v>
      </c>
      <c r="F18" s="0" t="str">
        <f aca="false">IFERROR(__xludf.dummyfunction("""COMPUTED_VALUE"""),"En desarrollo")</f>
        <v>En desarrollo</v>
      </c>
      <c r="G18" s="20" t="str">
        <f aca="false">IFERROR(__xludf.dummyfunction("""COMPUTED_VALUE"""),"https://drive.google.com/open?id=1s0kV3SQ2NgYiTne6HQgxzqNgCj0rPXWu")</f>
        <v>https://drive.google.com/open?id=1s0kV3SQ2NgYiTne6HQgxzqNgCj0rPXWu</v>
      </c>
    </row>
    <row r="19" customFormat="false" ht="14.25" hidden="false" customHeight="false" outlineLevel="0" collapsed="false">
      <c r="A19" s="18" t="str">
        <f aca="false">IFERROR(MID(D19,1,FIND("|",D19)-1)&amp;"-"&amp;C19,"")</f>
        <v>AICI202001-6-1-2</v>
      </c>
      <c r="B19" s="19" t="n">
        <f aca="false">IFERROR(__xludf.dummyfunction("""COMPUTED_VALUE"""),44169)</f>
        <v>44169</v>
      </c>
      <c r="C19" s="0" t="n">
        <f aca="false">IFERROR(__xludf.dummyfunction("""COMPUTED_VALUE"""),2)</f>
        <v>2</v>
      </c>
      <c r="D19" s="0" t="str">
        <f aca="false">IFERROR(__xludf.dummyfunction("""COMPUTED_VALUE"""),"AICI202001-6-1| Se revalorizarán los equipos de computo que están en servicio y que se encuentran totalmente depreciados. (10/05/2020 - 30/04/2021)")</f>
        <v>AICI202001-6-1| Se revalorizarán los equipos de computo que están en servicio y que se encuentran totalmente depreciados. (10/05/2020 - 30/04/2021)</v>
      </c>
      <c r="E19" s="0" t="str">
        <f aca="false">IFERROR(__xludf.dummyfunction("""COMPUTED_VALUE"""),"Se tiene proyectado para el 31 de dic, la re-valorización de los activos  después del trabajo entre las oficinas de sistemas y activos fijos, y se optó porque sistemas realizaría la valoración de los equipos para poder actualizar el valor comercial y la f"&amp;"echa para el re cálculo de la depreciación")</f>
        <v>Se tiene proyectado para el 31 de dic, la re-valorización de los activos  después del trabajo entre las oficinas de sistemas y activos fijos, y se optó porque sistemas realizaría la valoración de los equipos para poder actualizar el valor comercial y la fecha para el re cálculo de la depreciación</v>
      </c>
      <c r="F19" s="0" t="str">
        <f aca="false">IFERROR(__xludf.dummyfunction("""COMPUTED_VALUE"""),"En desarrollo")</f>
        <v>En desarrollo</v>
      </c>
      <c r="G19" s="0" t="str">
        <f aca="false">IFERROR(__xludf.dummyfunction("""COMPUTED_VALUE"""),"https://drive.google.com/open?id=1DVUZ-7ubNjve2mdztQt1taZrfpVdXCxP, https://drive.google.com/open?id=1JV-nmptQExOOx9Myr4oZaMn61CqndoSu")</f>
        <v>https://drive.google.com/open?id=1DVUZ-7ubNjve2mdztQt1taZrfpVdXCxP, https://drive.google.com/open?id=1JV-nmptQExOOx9Myr4oZaMn61CqndoSu</v>
      </c>
    </row>
    <row r="20" customFormat="false" ht="14.25" hidden="false" customHeight="false" outlineLevel="0" collapsed="false">
      <c r="A20" s="18" t="str">
        <f aca="false">IFERROR(MID(D20,1,FIND("|",D20)-1)&amp;"-"&amp;C20,"")</f>
        <v>AICI202001-7-1-2</v>
      </c>
      <c r="B20" s="19" t="n">
        <f aca="false">IFERROR(__xludf.dummyfunction("""COMPUTED_VALUE"""),44169)</f>
        <v>44169</v>
      </c>
      <c r="C20" s="0" t="n">
        <f aca="false">IFERROR(__xludf.dummyfunction("""COMPUTED_VALUE"""),2)</f>
        <v>2</v>
      </c>
      <c r="D20" s="0" t="str">
        <f aca="false">IFERROR(__xludf.dummyfunction("""COMPUTED_VALUE"""),"AICI202001-7-1| Implementacion en todos equipos de computo de la Subred Norte de la herramienta FusionInventory para tener un control avanzado del inventario a traves GLPI (01/05/2020 - 31/12/2020)")</f>
        <v>AICI202001-7-1| Implementacion en todos equipos de computo de la Subred Norte de la herramienta FusionInventory para tener un control avanzado del inventario a traves GLPI (01/05/2020 - 31/12/2020)</v>
      </c>
      <c r="E20" s="0" t="str">
        <f aca="false">IFERROR(__xludf.dummyfunction("""COMPUTED_VALUE"""),"Con corte de 1/12/2020 instalado la herramienta de fusioninventory a  un total  de 1223  equipos  dando  un cumplimiento del 54,36% se tiene soportes de instalación. Lo anterior debido a las restricciones de acceso a las áreas a causa del Covid-19, debido"&amp;" a trabajo en equipo con Activos fijos se solicita aplazar para febrero de 2021")</f>
        <v>Con corte de 1/12/2020 instalado la herramienta de fusioninventory a  un total  de 1223  equipos  dando  un cumplimiento del 54,36% se tiene soportes de instalación. Lo anterior debido a las restricciones de acceso a las áreas a causa del Covid-19, debido a trabajo en equipo con Activos fijos se solicita aplazar para febrero de 2021</v>
      </c>
      <c r="F20" s="0" t="str">
        <f aca="false">IFERROR(__xludf.dummyfunction("""COMPUTED_VALUE"""),"En desarrollo")</f>
        <v>En desarrollo</v>
      </c>
      <c r="G20" s="20" t="str">
        <f aca="false">IFERROR(__xludf.dummyfunction("""COMPUTED_VALUE"""),"https://drive.google.com/open?id=1hzbiXUYdXmtWij4KlXuJ401iFFI1O9wD")</f>
        <v>https://drive.google.com/open?id=1hzbiXUYdXmtWij4KlXuJ401iFFI1O9wD</v>
      </c>
    </row>
    <row r="21" customFormat="false" ht="14.25" hidden="false" customHeight="false" outlineLevel="0" collapsed="false">
      <c r="A21" s="18" t="str">
        <f aca="false">IFERROR(MID(D21,1,FIND("|",D21)-1)&amp;"-"&amp;C21,"")</f>
        <v>AICI202001-8-1-2</v>
      </c>
      <c r="B21" s="19" t="n">
        <f aca="false">IFERROR(__xludf.dummyfunction("""COMPUTED_VALUE"""),44169)</f>
        <v>44169</v>
      </c>
      <c r="C21" s="0" t="n">
        <f aca="false">IFERROR(__xludf.dummyfunction("""COMPUTED_VALUE"""),2)</f>
        <v>2</v>
      </c>
      <c r="D21" s="0" t="str">
        <f aca="false">IFERROR(__xludf.dummyfunction("""COMPUTED_VALUE"""),"AICI202001-8-1| Aplicar los controles establecidos en el Riesgo 5. Software obsoleto o no licenciado del mapa de riesgos de la vigencia 2020. (01/05/2020 - 31/12/2020)")</f>
        <v>AICI202001-8-1| Aplicar los controles establecidos en el Riesgo 5. Software obsoleto o no licenciado del mapa de riesgos de la vigencia 2020. (01/05/2020 - 31/12/2020)</v>
      </c>
      <c r="E21" s="0" t="str">
        <f aca="false">IFERROR(__xludf.dummyfunction("""COMPUTED_VALUE"""),"Se están realizando controles que tiene que ver con : Se cuenta con el inventario de equipos en obsolescencia.
- Durante el periodo se dieron de baja a equipos obsoletos.  
- Preliminares proyecto modernización infraestructura TI")</f>
        <v>Se están realizando controles que tiene que ver con : Se cuenta con el inventario de equipos en obsolescencia.
- Durante el periodo se dieron de baja a equipos obsoletos.  
- Preliminares proyecto modernización infraestructura TI</v>
      </c>
      <c r="F21" s="0" t="str">
        <f aca="false">IFERROR(__xludf.dummyfunction("""COMPUTED_VALUE"""),"En desarrollo")</f>
        <v>En desarrollo</v>
      </c>
      <c r="G21" s="0" t="str">
        <f aca="false">IFERROR(__xludf.dummyfunction("""COMPUTED_VALUE"""),"https://drive.google.com/open?id=1GGzwmQhxMHRqqIu-jsFOVh7QZIT8JDp4, https://drive.google.com/open?id=1NBV4CN01nxXqRm9MnHiag0NNy0_3VVHk, https://drive.google.com/open?id=1gp8NtjunqERt1oDIsfQhg81FMfIVzw7G")</f>
        <v>https://drive.google.com/open?id=1GGzwmQhxMHRqqIu-jsFOVh7QZIT8JDp4, https://drive.google.com/open?id=1NBV4CN01nxXqRm9MnHiag0NNy0_3VVHk, https://drive.google.com/open?id=1gp8NtjunqERt1oDIsfQhg81FMfIVzw7G</v>
      </c>
    </row>
    <row r="22" customFormat="false" ht="14.25" hidden="false" customHeight="false" outlineLevel="0" collapsed="false">
      <c r="A22" s="18" t="str">
        <f aca="false">IFERROR(MID(D22,1,FIND("|",D22)-1)&amp;"-"&amp;C22,"")</f>
        <v>AICI202001-9-1-2</v>
      </c>
      <c r="B22" s="19" t="n">
        <f aca="false">IFERROR(__xludf.dummyfunction("""COMPUTED_VALUE"""),44169)</f>
        <v>44169</v>
      </c>
      <c r="C22" s="0" t="n">
        <f aca="false">IFERROR(__xludf.dummyfunction("""COMPUTED_VALUE"""),2)</f>
        <v>2</v>
      </c>
      <c r="D22" s="0" t="str">
        <f aca="false">IFERROR(__xludf.dummyfunction("""COMPUTED_VALUE"""),"AICI202001-9-1| Upgrade de los sistemas operativos windows 7 (01/06/2020 - 31/12/2020)")</f>
        <v>AICI202001-9-1| Upgrade de los sistemas operativos windows 7 (01/06/2020 - 31/12/2020)</v>
      </c>
      <c r="E22" s="0" t="str">
        <f aca="false">IFERROR(__xludf.dummyfunction("""COMPUTED_VALUE"""),"Sistemas informa que estos computadores no se van a actualizar se van a solicitar la compra de nuevos Teniendo en cuenta que el porcentaje de 25% lo cual equivale a 568 equipos, por lo cual la Subred Norte ESE Radica ante la Secretaría Distrital de salud "&amp;"oficio 2020ER56668, en el cual se  envían los preliminares de proyectos de inversión en TIC en caso de no tener resultado del proyecto con la secretaria de salud se hará por contrato de arrendamiento")</f>
        <v>Sistemas informa que estos computadores no se van a actualizar se van a solicitar la compra de nuevos Teniendo en cuenta que el porcentaje de 25% lo cual equivale a 568 equipos, por lo cual la Subred Norte ESE Radica ante la Secretaría Distrital de salud oficio 2020ER56668, en el cual se  envían los preliminares de proyectos de inversión en TIC en caso de no tener resultado del proyecto con la secretaria de salud se hará por contrato de arrendamiento</v>
      </c>
      <c r="F22" s="0" t="str">
        <f aca="false">IFERROR(__xludf.dummyfunction("""COMPUTED_VALUE"""),"En desarrollo")</f>
        <v>En desarrollo</v>
      </c>
      <c r="G22" s="0" t="str">
        <f aca="false">IFERROR(__xludf.dummyfunction("""COMPUTED_VALUE"""),"https://drive.google.com/open?id=11sAEnuuioBbPPQBA02tpUCyGssfEaDrG, https://drive.google.com/open?id=1vfYujzBl0tTV33vEWJPMppRivxYI1oKC, https://drive.google.com/open?id=1Yud5_sEOJ030sKNaZo9At3vssYxzSng0")</f>
        <v>https://drive.google.com/open?id=11sAEnuuioBbPPQBA02tpUCyGssfEaDrG, https://drive.google.com/open?id=1vfYujzBl0tTV33vEWJPMppRivxYI1oKC, https://drive.google.com/open?id=1Yud5_sEOJ030sKNaZo9At3vssYxzSng0</v>
      </c>
    </row>
    <row r="23" customFormat="false" ht="14.25" hidden="false" customHeight="false" outlineLevel="0" collapsed="false">
      <c r="A23" s="18" t="str">
        <f aca="false">IFERROR(MID(D23,1,FIND("|",D23)-1)&amp;"-"&amp;C23,"")</f>
        <v>AICI202001-9-2-2</v>
      </c>
      <c r="B23" s="19" t="n">
        <f aca="false">IFERROR(__xludf.dummyfunction("""COMPUTED_VALUE"""),44169)</f>
        <v>44169</v>
      </c>
      <c r="C23" s="0" t="n">
        <f aca="false">IFERROR(__xludf.dummyfunction("""COMPUTED_VALUE"""),2)</f>
        <v>2</v>
      </c>
      <c r="D23" s="0" t="str">
        <f aca="false">IFERROR(__xludf.dummyfunction("""COMPUTED_VALUE"""),"AICI202001-9-2| Reposicion de los equipos con sistema operativo windows Vista y XP. (01/06/2020 - 31/12/2020)")</f>
        <v>AICI202001-9-2| Reposicion de los equipos con sistema operativo windows Vista y XP. (01/06/2020 - 31/12/2020)</v>
      </c>
      <c r="E23" s="0" t="str">
        <f aca="false">IFERROR(__xludf.dummyfunction("""COMPUTED_VALUE"""),"Sistemas informa que estos computadores no se van a actualizar se van a solicitar la compra de nuevos Teniendo en cuenta que el porcentaje de 25% lo cual equivale a 568 equipos, por lo cual la Subred Norte ESE Radica ante la Secretaría Distrital de salud "&amp;"oficio 2020ER56668, en el cual se  envían los preliminares de proyectos de inversión en TIC en caso de no tener resultado del proyecto con la secretaria de salud se hará por contrato de arrendamiento")</f>
        <v>Sistemas informa que estos computadores no se van a actualizar se van a solicitar la compra de nuevos Teniendo en cuenta que el porcentaje de 25% lo cual equivale a 568 equipos, por lo cual la Subred Norte ESE Radica ante la Secretaría Distrital de salud oficio 2020ER56668, en el cual se  envían los preliminares de proyectos de inversión en TIC en caso de no tener resultado del proyecto con la secretaria de salud se hará por contrato de arrendamiento</v>
      </c>
      <c r="F23" s="0" t="str">
        <f aca="false">IFERROR(__xludf.dummyfunction("""COMPUTED_VALUE"""),"En desarrollo")</f>
        <v>En desarrollo</v>
      </c>
      <c r="G23" s="0" t="str">
        <f aca="false">IFERROR(__xludf.dummyfunction("""COMPUTED_VALUE"""),"https://drive.google.com/open?id=1FqegAF8BbmwWF5RJL16dtulClvCECwmQ, https://drive.google.com/open?id=1A2n28f5E95fmEIqAePagkbdeQcCKrnTy, https://drive.google.com/open?id=19yStZ1AXQdyp7xbxuACUU1LT7zGdZ-B2")</f>
        <v>https://drive.google.com/open?id=1FqegAF8BbmwWF5RJL16dtulClvCECwmQ, https://drive.google.com/open?id=1A2n28f5E95fmEIqAePagkbdeQcCKrnTy, https://drive.google.com/open?id=19yStZ1AXQdyp7xbxuACUU1LT7zGdZ-B2</v>
      </c>
    </row>
    <row r="24" customFormat="false" ht="14.25" hidden="false" customHeight="false" outlineLevel="0" collapsed="false">
      <c r="A24" s="18" t="str">
        <f aca="false">IFERROR(MID(D24,1,FIND("|",D24)-1)&amp;"-"&amp;C24,"")</f>
        <v>AICI202001-1-1-3</v>
      </c>
      <c r="B24" s="19" t="n">
        <f aca="false">IFERROR(__xludf.dummyfunction("""COMPUTED_VALUE"""),44263)</f>
        <v>44263</v>
      </c>
      <c r="C24" s="0" t="n">
        <f aca="false">IFERROR(__xludf.dummyfunction("""COMPUTED_VALUE"""),3)</f>
        <v>3</v>
      </c>
      <c r="D24" s="0" t="str">
        <f aca="false">IFERROR(__xludf.dummyfunction("""COMPUTED_VALUE"""),"AICI202001-1-1| La oficina de sistemas de informacion - TIC remite a recursos fisicos el inventario depurado para realizarar conciliacion entre las dos areas (10/05/2020 - 31/12/2020)")</f>
        <v>AICI202001-1-1| La oficina de sistemas de informacion - TIC remite a recursos fisicos el inventario depurado para realizarar conciliacion entre las dos areas (10/05/2020 - 31/12/2020)</v>
      </c>
      <c r="E24" s="0" t="str">
        <f aca="false">IFERROR(__xludf.dummyfunction("""COMPUTED_VALUE"""),"Se cumplió con esta acción desde el primer seguimiento")</f>
        <v>Se cumplió con esta acción desde el primer seguimiento</v>
      </c>
      <c r="F24" s="0" t="str">
        <f aca="false">IFERROR(__xludf.dummyfunction("""COMPUTED_VALUE"""),"Completo")</f>
        <v>Completo</v>
      </c>
      <c r="G24" s="0" t="str">
        <f aca="false">IFERROR(__xludf.dummyfunction("""COMPUTED_VALUE"""),"https://drive.google.com/open?id=1XfeSlhpEZPbZT24H0O2L0S0KUf_LL5Jt, https://drive.google.com/open?id=1nz6rHU9qE-6iwy9Yn_V8mRiktlKrgyaN")</f>
        <v>https://drive.google.com/open?id=1XfeSlhpEZPbZT24H0O2L0S0KUf_LL5Jt, https://drive.google.com/open?id=1nz6rHU9qE-6iwy9Yn_V8mRiktlKrgyaN</v>
      </c>
    </row>
    <row r="25" customFormat="false" ht="14.25" hidden="false" customHeight="false" outlineLevel="0" collapsed="false">
      <c r="A25" s="18" t="str">
        <f aca="false">IFERROR(MID(D25,1,FIND("|",D25)-1)&amp;"-"&amp;C25,"")</f>
        <v>AICI202001-2-1-3</v>
      </c>
      <c r="B25" s="19" t="n">
        <f aca="false">IFERROR(__xludf.dummyfunction("""COMPUTED_VALUE"""),44263)</f>
        <v>44263</v>
      </c>
      <c r="C25" s="0" t="n">
        <f aca="false">IFERROR(__xludf.dummyfunction("""COMPUTED_VALUE"""),3)</f>
        <v>3</v>
      </c>
      <c r="D25" s="0" t="str">
        <f aca="false">IFERROR(__xludf.dummyfunction("""COMPUTED_VALUE"""),"AICI202001-2-1| Revisar, actualizar y ajustar en el Sistema de Información del inventario remitido por la oficina de Sistemas de Información (10/05/2020 - 31/12/2020)")</f>
        <v>AICI202001-2-1| Revisar, actualizar y ajustar en el Sistema de Información del inventario remitido por la oficina de Sistemas de Información (10/05/2020 - 31/12/2020)</v>
      </c>
      <c r="E25" s="0" t="str">
        <f aca="false">IFERROR(__xludf.dummyfunction("""COMPUTED_VALUE"""),"Se continua con el proceso de inventarios  con el  trabajo entre sistemas y activos fijos  donde se realiza un diagnóstico general de hardware y software sin embargo los tiempos están demorados por traslados y temas de  pandemia y vacunación. Se solicitar"&amp;"á ampliación de las fechas mediante oficio dirigido a la oficina de control interno  con las fechas de cumplimiento de las acciones, para poder realizar la adecuada conciliación con activos fijos, debido a que continúan las diferencias,  se identifica que"&amp;" se ha trabajado sobre temas de  bajas de equipos, placas duplicadas, falta de recurso humano suficiente para completar las tareas.")</f>
        <v>Se continua con el proceso de inventarios  con el  trabajo entre sistemas y activos fijos  donde se realiza un diagnóstico general de hardware y software sin embargo los tiempos están demorados por traslados y temas de  pandemia y vacunación. Se solicitará ampliación de las fechas mediante oficio dirigido a la oficina de control interno  con las fechas de cumplimiento de las acciones, para poder realizar la adecuada conciliación con activos fijos, debido a que continúan las diferencias,  se identifica que se ha trabajado sobre temas de  bajas de equipos, placas duplicadas, falta de recurso humano suficiente para completar las tareas.</v>
      </c>
      <c r="F25" s="0" t="str">
        <f aca="false">IFERROR(__xludf.dummyfunction("""COMPUTED_VALUE"""),"Atrasado")</f>
        <v>Atrasado</v>
      </c>
      <c r="G25" s="0" t="str">
        <f aca="false">IFERROR(__xludf.dummyfunction("""COMPUTED_VALUE"""),"https://drive.google.com/open?id=1lHvVhklPiUfxpdsy3db3igg_JOASh5mB, https://drive.google.com/open?id=1Qk27-hy8LE58_HRCuv78oOd-PTIqtL7c")</f>
        <v>https://drive.google.com/open?id=1lHvVhklPiUfxpdsy3db3igg_JOASh5mB, https://drive.google.com/open?id=1Qk27-hy8LE58_HRCuv78oOd-PTIqtL7c</v>
      </c>
    </row>
    <row r="26" customFormat="false" ht="14.25" hidden="false" customHeight="false" outlineLevel="0" collapsed="false">
      <c r="A26" s="18" t="str">
        <f aca="false">IFERROR(MID(D26,1,FIND("|",D26)-1)&amp;"-"&amp;C26,"")</f>
        <v>AICI202001-3-1-3</v>
      </c>
      <c r="B26" s="19" t="n">
        <f aca="false">IFERROR(__xludf.dummyfunction("""COMPUTED_VALUE"""),44263)</f>
        <v>44263</v>
      </c>
      <c r="C26" s="0" t="n">
        <f aca="false">IFERROR(__xludf.dummyfunction("""COMPUTED_VALUE"""),3)</f>
        <v>3</v>
      </c>
      <c r="D26" s="0" t="str">
        <f aca="false">IFERROR(__xludf.dummyfunction("""COMPUTED_VALUE"""),"AICI202001-3-1| La oficina de sistemas de informacion - TIC remite a recursos fisicos el inventario de los equipos de la subred para que la oficina de activos fijos proceda al respectivo plaqueteo e inclusion en el sistema de informacion. (10/05/2020 - 31"&amp;"/12/2020)")</f>
        <v>AICI202001-3-1| La oficina de sistemas de informacion - TIC remite a recursos fisicos el inventario de los equipos de la subred para que la oficina de activos fijos proceda al respectivo plaqueteo e inclusion en el sistema de informacion. (10/05/2020 - 31/12/2020)</v>
      </c>
      <c r="E26" s="0" t="str">
        <f aca="false">IFERROR(__xludf.dummyfunction("""COMPUTED_VALUE"""),"Se continua con el proceso de inventarios  con el  trabajo entre sistemas y activos fijos  donde se realiza un diagnóstico general de hardware y software sin embargo los tiempos están demorados por traslados y temas de  pandemia y vacunación. Se solicita "&amp;"ampliación de las fechas mediante oficio dirigido a la oficina de control interno  con las fechas de cumplimiento de las acciones, para poder realizar la adecuada conciliación con activos fijos, debido a que continúan las diferencias,  se identifica que s"&amp;"e ha trabajado sobre temas de  bajas de equipos, placas duplicadas, falta de recurso humano suficiente para completar las tareas.")</f>
        <v>Se continua con el proceso de inventarios  con el  trabajo entre sistemas y activos fijos  donde se realiza un diagnóstico general de hardware y software sin embargo los tiempos están demorados por traslados y temas de  pandemia y vacunación. Se solicita ampliación de las fechas mediante oficio dirigido a la oficina de control interno  con las fechas de cumplimiento de las acciones, para poder realizar la adecuada conciliación con activos fijos, debido a que continúan las diferencias,  se identifica que se ha trabajado sobre temas de  bajas de equipos, placas duplicadas, falta de recurso humano suficiente para completar las tareas.</v>
      </c>
      <c r="F26" s="0" t="str">
        <f aca="false">IFERROR(__xludf.dummyfunction("""COMPUTED_VALUE"""),"Atrasado")</f>
        <v>Atrasado</v>
      </c>
      <c r="G26" s="0" t="str">
        <f aca="false">IFERROR(__xludf.dummyfunction("""COMPUTED_VALUE"""),"https://drive.google.com/open?id=18vy9kSCnPDPFeXUOlYRdsLyowPOqenh8, https://drive.google.com/open?id=1G8I4cnY7vKXhXRwiWI_I8ZHV2ps7BsvP")</f>
        <v>https://drive.google.com/open?id=18vy9kSCnPDPFeXUOlYRdsLyowPOqenh8, https://drive.google.com/open?id=1G8I4cnY7vKXhXRwiWI_I8ZHV2ps7BsvP</v>
      </c>
    </row>
    <row r="27" customFormat="false" ht="14.25" hidden="false" customHeight="false" outlineLevel="0" collapsed="false">
      <c r="A27" s="18" t="str">
        <f aca="false">IFERROR(MID(D27,1,FIND("|",D27)-1)&amp;"-"&amp;C27,"")</f>
        <v>AICI202001-4-1-3</v>
      </c>
      <c r="B27" s="19" t="n">
        <f aca="false">IFERROR(__xludf.dummyfunction("""COMPUTED_VALUE"""),44263)</f>
        <v>44263</v>
      </c>
      <c r="C27" s="0" t="n">
        <f aca="false">IFERROR(__xludf.dummyfunction("""COMPUTED_VALUE"""),3)</f>
        <v>3</v>
      </c>
      <c r="D27" s="0" t="str">
        <f aca="false">IFERROR(__xludf.dummyfunction("""COMPUTED_VALUE"""),"AICI202001-4-1| La oficina de sistemas de información - TIC remite a recursos físicos el inventario de los equipos de la subred para que la oficina de activos fijos proceda a verificar las placas duplicadas y realice la replaquetización y los ajustes pert"&amp;"inentes al sistema para que controle la duplicidad de placas. (10/05/2020 - 31/12/2020)")</f>
        <v>AICI202001-4-1| La oficina de sistemas de información - TIC remite a recursos físicos el inventario de los equipos de la subred para que la oficina de activos fijos proceda a verificar las placas duplicadas y realice la replaquetización y los ajustes pertinentes al sistema para que controle la duplicidad de placas. (10/05/2020 - 31/12/2020)</v>
      </c>
      <c r="E27" s="0" t="str">
        <f aca="false">IFERROR(__xludf.dummyfunction("""COMPUTED_VALUE"""),"Se continua con el proceso de inventarios  con el  trabajo entre sistemas y activos fijos  donde se realiza un diagnóstico general de hardware y software sin embargo los tiempos están demorados por traslados y temas de  pandemia y vacunación. Se solicitar"&amp;"á ampliación de las fechas mediante oficio dirigido a la oficina de control interno  con las fechas de cumplimiento de las acciones, para poder realizar la adecuada conciliación con activos fijos, debido a que continúan las diferencias,  se identifica que"&amp;" se ha trabajado sobre temas de  bajas de equipos, placas duplicadas, falta de recurso humano suficiente para completar las tareas.")</f>
        <v>Se continua con el proceso de inventarios  con el  trabajo entre sistemas y activos fijos  donde se realiza un diagnóstico general de hardware y software sin embargo los tiempos están demorados por traslados y temas de  pandemia y vacunación. Se solicitará ampliación de las fechas mediante oficio dirigido a la oficina de control interno  con las fechas de cumplimiento de las acciones, para poder realizar la adecuada conciliación con activos fijos, debido a que continúan las diferencias,  se identifica que se ha trabajado sobre temas de  bajas de equipos, placas duplicadas, falta de recurso humano suficiente para completar las tareas.</v>
      </c>
      <c r="F27" s="0" t="str">
        <f aca="false">IFERROR(__xludf.dummyfunction("""COMPUTED_VALUE"""),"Atrasado")</f>
        <v>Atrasado</v>
      </c>
      <c r="G27" s="0" t="str">
        <f aca="false">IFERROR(__xludf.dummyfunction("""COMPUTED_VALUE"""),"https://drive.google.com/open?id=1lFRZhJ6UWMqxnMh9jtW5OMalgi69uzaL, https://drive.google.com/open?id=1YDsYKCc80E4x4oL7khnExznKG8xeb6gQ")</f>
        <v>https://drive.google.com/open?id=1lFRZhJ6UWMqxnMh9jtW5OMalgi69uzaL, https://drive.google.com/open?id=1YDsYKCc80E4x4oL7khnExznKG8xeb6gQ</v>
      </c>
    </row>
    <row r="28" customFormat="false" ht="14.25" hidden="false" customHeight="false" outlineLevel="0" collapsed="false">
      <c r="A28" s="18" t="str">
        <f aca="false">IFERROR(MID(D28,1,FIND("|",D28)-1)&amp;"-"&amp;C28,"")</f>
        <v>AICI202001-5-1-3</v>
      </c>
      <c r="B28" s="19" t="n">
        <f aca="false">IFERROR(__xludf.dummyfunction("""COMPUTED_VALUE"""),44263)</f>
        <v>44263</v>
      </c>
      <c r="C28" s="0" t="n">
        <f aca="false">IFERROR(__xludf.dummyfunction("""COMPUTED_VALUE"""),3)</f>
        <v>3</v>
      </c>
      <c r="D28" s="0" t="str">
        <f aca="false">IFERROR(__xludf.dummyfunction("""COMPUTED_VALUE"""),"AICI202001-5-1| Reforzar las placas con materiales adhesivos de mejor calidad y remarcar con tinta no borrable en sitios de poco contacto. (10/05/2020 - 30/04/2021)")</f>
        <v>AICI202001-5-1| Reforzar las placas con materiales adhesivos de mejor calidad y remarcar con tinta no borrable en sitios de poco contacto. (10/05/2020 - 30/04/2021)</v>
      </c>
      <c r="E28" s="0" t="str">
        <f aca="false">IFERROR(__xludf.dummyfunction("""COMPUTED_VALUE"""),"Se presenta evidencia fotográfica  del proceso de reforzamiento de las placas con papel contac a los equipos de cómputo de la Subred.  el porcentaje de  avance es  superior al 85% pero no se tiene aún el dato exacto se continuara con la tarea hasta cumpli"&amp;"r con el 100% de equipos.")</f>
        <v>Se presenta evidencia fotográfica  del proceso de reforzamiento de las placas con papel contac a los equipos de cómputo de la Subred.  el porcentaje de  avance es  superior al 85% pero no se tiene aún el dato exacto se continuara con la tarea hasta cumplir con el 100% de equipos.</v>
      </c>
      <c r="F28" s="0" t="str">
        <f aca="false">IFERROR(__xludf.dummyfunction("""COMPUTED_VALUE"""),"En desarrollo")</f>
        <v>En desarrollo</v>
      </c>
      <c r="G28" s="0" t="str">
        <f aca="false">IFERROR(__xludf.dummyfunction("""COMPUTED_VALUE"""),"https://drive.google.com/open?id=1hGmf_BSpP4iZ1IWf_OpjNNeOb04vEtLI, https://drive.google.com/open?id=1MXTbY07hlsuoPRjZsA-8nZNeskTKISCA, https://drive.google.com/open?id=1iYiQJM4Avm164BB9HKAhs3erfaw46IjY, https://drive.google.com/open?id=1LU8RVGEa8C8Ao_AFy"&amp;"GxjoyYQmJLabi0n, https://drive.google.com/open?id=1zLCw0T03YfXsZvJ_sD4r4U3P2z1WGrtF")</f>
        <v>https://drive.google.com/open?id=1hGmf_BSpP4iZ1IWf_OpjNNeOb04vEtLI, https://drive.google.com/open?id=1MXTbY07hlsuoPRjZsA-8nZNeskTKISCA, https://drive.google.com/open?id=1iYiQJM4Avm164BB9HKAhs3erfaw46IjY, https://drive.google.com/open?id=1LU8RVGEa8C8Ao_AFyGxjoyYQmJLabi0n, https://drive.google.com/open?id=1zLCw0T03YfXsZvJ_sD4r4U3P2z1WGrtF</v>
      </c>
    </row>
    <row r="29" customFormat="false" ht="14.25" hidden="false" customHeight="false" outlineLevel="0" collapsed="false">
      <c r="A29" s="18" t="str">
        <f aca="false">IFERROR(MID(D29,1,FIND("|",D29)-1)&amp;"-"&amp;C29,"")</f>
        <v>AICI202001-6-1-3</v>
      </c>
      <c r="B29" s="19" t="n">
        <f aca="false">IFERROR(__xludf.dummyfunction("""COMPUTED_VALUE"""),44263)</f>
        <v>44263</v>
      </c>
      <c r="C29" s="0" t="n">
        <f aca="false">IFERROR(__xludf.dummyfunction("""COMPUTED_VALUE"""),3)</f>
        <v>3</v>
      </c>
      <c r="D29" s="0" t="str">
        <f aca="false">IFERROR(__xludf.dummyfunction("""COMPUTED_VALUE"""),"AICI202001-6-1| Se revalorizarán los equipos de computo que están en servicio y que se encuentran totalmente depreciados. (10/05/2020 - 30/04/2021)")</f>
        <v>AICI202001-6-1| Se revalorizarán los equipos de computo que están en servicio y que se encuentran totalmente depreciados. (10/05/2020 - 30/04/2021)</v>
      </c>
      <c r="E29" s="0" t="str">
        <f aca="false">IFERROR(__xludf.dummyfunction("""COMPUTED_VALUE"""),"El área de activos fijos junto con la oficina de sistemas realiza la revalorización de los equipos de cómputo de la Subred. se tiene evidencia de los revalorizaciones de los computadores y los soportes contables ")</f>
        <v>El área de activos fijos junto con la oficina de sistemas realiza la revalorización de los equipos de cómputo de la Subred. se tiene evidencia de los revalorizaciones de los computadores y los soportes contables </v>
      </c>
      <c r="F29" s="0" t="str">
        <f aca="false">IFERROR(__xludf.dummyfunction("""COMPUTED_VALUE"""),"Completo")</f>
        <v>Completo</v>
      </c>
      <c r="G29" s="0" t="str">
        <f aca="false">IFERROR(__xludf.dummyfunction("""COMPUTED_VALUE"""),"https://drive.google.com/open?id=1b-W895CfVgfGaXVIzue4Bi17JGynS4Cr, https://drive.google.com/open?id=189z2zRdqaFH9NkBqws8sAvLoZlRJSn2N, https://drive.google.com/open?id=18m_oRZkX6BvtuXtqQuhT3aFI1cQrYoZT, https://drive.google.com/open?id=1BZa4iRr0cE5GLxpIK"&amp;"2XlAQPzr71Ct9Rl, https://drive.google.com/open?id=1AnunEGD_V6mHb2vPHGhAyeuHUsDBFybP")</f>
        <v>https://drive.google.com/open?id=1b-W895CfVgfGaXVIzue4Bi17JGynS4Cr, https://drive.google.com/open?id=189z2zRdqaFH9NkBqws8sAvLoZlRJSn2N, https://drive.google.com/open?id=18m_oRZkX6BvtuXtqQuhT3aFI1cQrYoZT, https://drive.google.com/open?id=1BZa4iRr0cE5GLxpIK2XlAQPzr71Ct9Rl, https://drive.google.com/open?id=1AnunEGD_V6mHb2vPHGhAyeuHUsDBFybP</v>
      </c>
    </row>
    <row r="30" customFormat="false" ht="14.25" hidden="false" customHeight="false" outlineLevel="0" collapsed="false">
      <c r="A30" s="18" t="str">
        <f aca="false">IFERROR(MID(D30,1,FIND("|",D30)-1)&amp;"-"&amp;C30,"")</f>
        <v>AICI202001-7-1-3</v>
      </c>
      <c r="B30" s="19" t="n">
        <f aca="false">IFERROR(__xludf.dummyfunction("""COMPUTED_VALUE"""),44263)</f>
        <v>44263</v>
      </c>
      <c r="C30" s="0" t="n">
        <f aca="false">IFERROR(__xludf.dummyfunction("""COMPUTED_VALUE"""),3)</f>
        <v>3</v>
      </c>
      <c r="D30" s="0" t="str">
        <f aca="false">IFERROR(__xludf.dummyfunction("""COMPUTED_VALUE"""),"AICI202001-7-1| Implementacion en todos equipos de computo de la Subred Norte de la herramienta FusionInventory para tener un control avanzado del inventario a traves GLPI (01/05/2020 - 31/12/2020)")</f>
        <v>AICI202001-7-1| Implementacion en todos equipos de computo de la Subred Norte de la herramienta FusionInventory para tener un control avanzado del inventario a traves GLPI (01/05/2020 - 31/12/2020)</v>
      </c>
      <c r="E30" s="0" t="str">
        <f aca="false">IFERROR(__xludf.dummyfunction("""COMPUTED_VALUE"""),"Con corte al 28/02/2021 se ha instalado la herramienta fusioninventory a un total  de 1704  equipos, dando  un cumplimiento al 74,47%.  Lo anterior debido a las restricciones de acceso a las áreas a causa del Covid-19. se proyecta  que se solicitará  ampl"&amp;"iación de las fechas mediante oficio dirigido a la oficina de control interno  con las fechas de cumplimineto de las acciones para completa la instalación en los equipos  Soporte: herramienta mesa de servicios cuadro de equipos instalados")</f>
        <v>Con corte al 28/02/2021 se ha instalado la herramienta fusioninventory a un total  de 1704  equipos, dando  un cumplimiento al 74,47%.  Lo anterior debido a las restricciones de acceso a las áreas a causa del Covid-19. se proyecta  que se solicitará  ampliación de las fechas mediante oficio dirigido a la oficina de control interno  con las fechas de cumplimineto de las acciones para completa la instalación en los equipos  Soporte: herramienta mesa de servicios cuadro de equipos instalados</v>
      </c>
      <c r="F30" s="0" t="str">
        <f aca="false">IFERROR(__xludf.dummyfunction("""COMPUTED_VALUE"""),"Atrasado")</f>
        <v>Atrasado</v>
      </c>
      <c r="G30" s="20" t="str">
        <f aca="false">IFERROR(__xludf.dummyfunction("""COMPUTED_VALUE"""),"https://drive.google.com/open?id=1XGMciwNNfsp-PSNJQLDS0j_MzYTeirUO")</f>
        <v>https://drive.google.com/open?id=1XGMciwNNfsp-PSNJQLDS0j_MzYTeirUO</v>
      </c>
    </row>
    <row r="31" customFormat="false" ht="14.25" hidden="false" customHeight="false" outlineLevel="0" collapsed="false">
      <c r="A31" s="18" t="str">
        <f aca="false">IFERROR(MID(D31,1,FIND("|",D31)-1)&amp;"-"&amp;C31,"")</f>
        <v>AICI202001-8-1-3</v>
      </c>
      <c r="B31" s="19" t="n">
        <f aca="false">IFERROR(__xludf.dummyfunction("""COMPUTED_VALUE"""),44263)</f>
        <v>44263</v>
      </c>
      <c r="C31" s="0" t="n">
        <f aca="false">IFERROR(__xludf.dummyfunction("""COMPUTED_VALUE"""),3)</f>
        <v>3</v>
      </c>
      <c r="D31" s="0" t="str">
        <f aca="false">IFERROR(__xludf.dummyfunction("""COMPUTED_VALUE"""),"AICI202001-8-1| Aplicar los controles establecidos en el Riesgo 5. Software obsoleto o no licenciado del mapa de riesgos de la vigencia 2020. (01/05/2020 - 31/12/2020)")</f>
        <v>AICI202001-8-1| Aplicar los controles establecidos en el Riesgo 5. Software obsoleto o no licenciado del mapa de riesgos de la vigencia 2020. (01/05/2020 - 31/12/2020)</v>
      </c>
      <c r="E31" s="0" t="str">
        <f aca="false">IFERROR(__xludf.dummyfunction("""COMPUTED_VALUE"""),"Se cuenta con el inventario de equipos en obsolescencia.
- Durante el periodo no se dieron de baja a equipos obsoletos.  
- Oficio radicado preproyecto modernización infraestructura TI ante la Secretari Ditrital de Salud. Para este caso el riesgo persiste"&amp;" , se debe proyectar un oficio dirigido a la oficina de control interno planteando las fechas para el cumplimiento de las acciones y dar solución al hallazgo
")</f>
        <v>Se cuenta con el inventario de equipos en obsolescencia.
- Durante el periodo no se dieron de baja a equipos obsoletos.  
- Oficio radicado preproyecto modernización infraestructura TI ante la Secretari Ditrital de Salud. Para este caso el riesgo persiste , se debe proyectar un oficio dirigido a la oficina de control interno planteando las fechas para el cumplimiento de las acciones y dar solución al hallazgo
</v>
      </c>
      <c r="F31" s="0" t="str">
        <f aca="false">IFERROR(__xludf.dummyfunction("""COMPUTED_VALUE"""),"Atrasado")</f>
        <v>Atrasado</v>
      </c>
      <c r="G31" s="0" t="str">
        <f aca="false">IFERROR(__xludf.dummyfunction("""COMPUTED_VALUE"""),"https://drive.google.com/open?id=1JDZV5LONdzwQ6W55bmKCqwXQN_GPahAe, https://drive.google.com/open?id=1YTUY0bweggnje-IHRVKx3Xf7AXGZixQO, https://drive.google.com/open?id=1G_o5jJ9kqXu4yUcq3yBZbGNEFMAmECGN, https://drive.google.com/open?id=11oqs8wJE4IFpAXxDM"&amp;"1KAcsNkL1jusgFJ")</f>
        <v>https://drive.google.com/open?id=1JDZV5LONdzwQ6W55bmKCqwXQN_GPahAe, https://drive.google.com/open?id=1YTUY0bweggnje-IHRVKx3Xf7AXGZixQO, https://drive.google.com/open?id=1G_o5jJ9kqXu4yUcq3yBZbGNEFMAmECGN, https://drive.google.com/open?id=11oqs8wJE4IFpAXxDM1KAcsNkL1jusgFJ</v>
      </c>
    </row>
    <row r="32" customFormat="false" ht="14.25" hidden="false" customHeight="false" outlineLevel="0" collapsed="false">
      <c r="A32" s="18" t="str">
        <f aca="false">IFERROR(MID(D32,1,FIND("|",D32)-1)&amp;"-"&amp;C32,"")</f>
        <v>AICI202001-9-1-3</v>
      </c>
      <c r="B32" s="19" t="n">
        <f aca="false">IFERROR(__xludf.dummyfunction("""COMPUTED_VALUE"""),44263)</f>
        <v>44263</v>
      </c>
      <c r="C32" s="0" t="n">
        <f aca="false">IFERROR(__xludf.dummyfunction("""COMPUTED_VALUE"""),3)</f>
        <v>3</v>
      </c>
      <c r="D32" s="0" t="str">
        <f aca="false">IFERROR(__xludf.dummyfunction("""COMPUTED_VALUE"""),"AICI202001-9-1| Upgrade de los sistemas operativos windows 7 (01/06/2020 - 31/12/2020)")</f>
        <v>AICI202001-9-1| Upgrade de los sistemas operativos windows 7 (01/06/2020 - 31/12/2020)</v>
      </c>
      <c r="E32" s="0" t="str">
        <f aca="false">IFERROR(__xludf.dummyfunction("""COMPUTED_VALUE"""),"La Subred Norte mediante oficio  2020ER56668, radicó ante la Secretaría distrital de salud los preliminares del Proyecto de Modernización de la Infraestructura. 
De igual forma se tiene suscrito el contrato de prestación de servicios de alquiler N° 056 DE"&amp;" 2019, suscrito entre la Subred Norte ESE y la empresa  NECSOFTPC LTDA, cuyo objeto es Contratar la prestación de los servicios de alquiler de equipos de cómputo, escáner, lectores, scanner e impresoras térmicas sticker para cubrir la demanda y garantizar"&amp;" la adecuada prestación del servicio dentro de la Subred Integrada de Servicios de Salud Norte ESE. La oficina de Sistemas de Información - TIC tiene identificado los equipos obsoletos, para un total de 510 equipos  Para este caso el riesgo persiste , se "&amp;"debe proyectar un oficio dirigido a la oficina de control interno planteando las fechas para el cumplimiento de las acciones y dar solución al hallazgo.")</f>
        <v>La Subred Norte mediante oficio  2020ER56668, radicó ante la Secretaría distrital de salud los preliminares del Proyecto de Modernización de la Infraestructura. 
De igual forma se tiene suscrito el contrato de prestación de servicios de alquiler N° 056 DE 2019, suscrito entre la Subred Norte ESE y la empresa  NECSOFTPC LTDA, cuyo objeto es Contratar la prestación de los servicios de alquiler de equipos de cómputo, escáner, lectores, scanner e impresoras térmicas sticker para cubrir la demanda y garantizar la adecuada prestación del servicio dentro de la Subred Integrada de Servicios de Salud Norte ESE. La oficina de Sistemas de Información - TIC tiene identificado los equipos obsoletos, para un total de 510 equipos  Para este caso el riesgo persiste , se debe proyectar un oficio dirigido a la oficina de control interno planteando las fechas para el cumplimiento de las acciones y dar solución al hallazgo.</v>
      </c>
      <c r="F32" s="0" t="str">
        <f aca="false">IFERROR(__xludf.dummyfunction("""COMPUTED_VALUE"""),"Atrasado")</f>
        <v>Atrasado</v>
      </c>
      <c r="G32" s="0" t="str">
        <f aca="false">IFERROR(__xludf.dummyfunction("""COMPUTED_VALUE"""),"https://drive.google.com/open?id=12amOpB1IG9bxoSfDv-4UlwzccrbTMLf6, https://drive.google.com/open?id=1VocSlBXjDS94GdKql65PJ_FAwrqQS9X8, https://drive.google.com/open?id=100d8cvC7ftAoeJL9X0HpNVPqMgc-ySLC, https://drive.google.com/open?id=1lnVqbDzr3mHURHC-p"&amp;"OqiDRSShux3-uOx")</f>
        <v>https://drive.google.com/open?id=12amOpB1IG9bxoSfDv-4UlwzccrbTMLf6, https://drive.google.com/open?id=1VocSlBXjDS94GdKql65PJ_FAwrqQS9X8, https://drive.google.com/open?id=100d8cvC7ftAoeJL9X0HpNVPqMgc-ySLC, https://drive.google.com/open?id=1lnVqbDzr3mHURHC-pOqiDRSShux3-uOx</v>
      </c>
    </row>
    <row r="33" customFormat="false" ht="14.25" hidden="false" customHeight="false" outlineLevel="0" collapsed="false">
      <c r="A33" s="18" t="str">
        <f aca="false">IFERROR(MID(D33,1,FIND("|",D33)-1)&amp;"-"&amp;C33,"")</f>
        <v>AICI202001-9-2-3</v>
      </c>
      <c r="B33" s="19" t="n">
        <f aca="false">IFERROR(__xludf.dummyfunction("""COMPUTED_VALUE"""),44263)</f>
        <v>44263</v>
      </c>
      <c r="C33" s="0" t="n">
        <f aca="false">IFERROR(__xludf.dummyfunction("""COMPUTED_VALUE"""),3)</f>
        <v>3</v>
      </c>
      <c r="D33" s="0" t="str">
        <f aca="false">IFERROR(__xludf.dummyfunction("""COMPUTED_VALUE"""),"AICI202001-9-2| Reposicion de los equipos con sistema operativo windows Vista y XP. (01/06/2020 - 31/12/2020)")</f>
        <v>AICI202001-9-2| Reposicion de los equipos con sistema operativo windows Vista y XP. (01/06/2020 - 31/12/2020)</v>
      </c>
      <c r="E33" s="0" t="str">
        <f aca="false">IFERROR(__xludf.dummyfunction("""COMPUTED_VALUE"""),"La Subred Norte mediante oficio  2020ER56668, radicó ante la Secretaría distrital de salud los preliminares del Proyecto de Modernización de la Infraestructura. 
De igual forma se tiene suscrito el contrato de prestación de servicios de alquiler N° 056 DE"&amp;" 2019, suscrito entre la Subred Norte ESE y la empresa  NECSOFTPC LTDA, cuyo objeto es Contratar la prestación de los servicios de alquiler de equipos de cómputo, escáner, lectores, scanner e impresoras térmicas sticker para cubrir la demanda y garantizar"&amp;" la adecuada prestación del servicio dentro de la Subred Integrada de Servicios de Salud Norte ESE.
La oficina de Sistemas de Información - TIC tiene identificado los equipos obsoletos, para un total de 510 equipos"" Para este caso el riesgo persiste , se"&amp;" debe proyectar un oficio dirigido a la oficina de control interno planteando las fechas para el cumplimiento de las acciones y dar solución al hallazgo.
")</f>
        <v>La Subred Norte mediante oficio  2020ER56668, radicó ante la Secretaría distrital de salud los preliminares del Proyecto de Modernización de la Infraestructura. 
De igual forma se tiene suscrito el contrato de prestación de servicios de alquiler N° 056 DE 2019, suscrito entre la Subred Norte ESE y la empresa  NECSOFTPC LTDA, cuyo objeto es Contratar la prestación de los servicios de alquiler de equipos de cómputo, escáner, lectores, scanner e impresoras térmicas sticker para cubrir la demanda y garantizar la adecuada prestación del servicio dentro de la Subred Integrada de Servicios de Salud Norte ESE.
La oficina de Sistemas de Información - TIC tiene identificado los equipos obsoletos, para un total de 510 equipos" Para este caso el riesgo persiste , se debe proyectar un oficio dirigido a la oficina de control interno planteando las fechas para el cumplimiento de las acciones y dar solución al hallazgo.
</v>
      </c>
      <c r="F33" s="0" t="str">
        <f aca="false">IFERROR(__xludf.dummyfunction("""COMPUTED_VALUE"""),"Atrasado")</f>
        <v>Atrasado</v>
      </c>
      <c r="G33" s="0" t="str">
        <f aca="false">IFERROR(__xludf.dummyfunction("""COMPUTED_VALUE"""),"https://drive.google.com/open?id=1UGKERxCnWNgQvj5PWFWwgukswsuAkzF-, https://drive.google.com/open?id=1tXDkzXN1cCI_K0TtIvQjdXIW4YVQvdu_, https://drive.google.com/open?id=1DM50eN7pzpg93AUicutJL-ckwzbY-iiW, https://drive.google.com/open?id=1DIZsBc_XrMc5A6o-G"&amp;"gRzm0MxSMuZXJeR")</f>
        <v>https://drive.google.com/open?id=1UGKERxCnWNgQvj5PWFWwgukswsuAkzF-, https://drive.google.com/open?id=1tXDkzXN1cCI_K0TtIvQjdXIW4YVQvdu_, https://drive.google.com/open?id=1DM50eN7pzpg93AUicutJL-ckwzbY-iiW, https://drive.google.com/open?id=1DIZsBc_XrMc5A6o-GgRzm0MxSMuZXJeR</v>
      </c>
    </row>
    <row r="34" customFormat="false" ht="14.25" hidden="false" customHeight="false" outlineLevel="0" collapsed="false">
      <c r="A34" s="18" t="str">
        <f aca="false">IFERROR(MID(D34,1,FIND("|",D34)-1)&amp;"-"&amp;C34,"")</f>
        <v>AICI202001-2-1-4</v>
      </c>
      <c r="B34" s="19" t="n">
        <f aca="false">IFERROR(__xludf.dummyfunction("""COMPUTED_VALUE"""),44447)</f>
        <v>44447</v>
      </c>
      <c r="C34" s="0" t="n">
        <f aca="false">IFERROR(__xludf.dummyfunction("""COMPUTED_VALUE"""),4)</f>
        <v>4</v>
      </c>
      <c r="D34" s="0" t="str">
        <f aca="false">IFERROR(__xludf.dummyfunction("""COMPUTED_VALUE"""),"AICI202001-2-1| Revisar, actualizar y ajustar en el Sistema de Información del inventario remitido por la oficina de Sistemas de Información (10/05/2020 - 30/07/2021)")</f>
        <v>AICI202001-2-1| Revisar, actualizar y ajustar en el Sistema de Información del inventario remitido por la oficina de Sistemas de Información (10/05/2020 - 30/07/2021)</v>
      </c>
      <c r="E34" s="0" t="str">
        <f aca="false">IFERROR(__xludf.dummyfunction("""COMPUTED_VALUE"""),"Se identificaron las diferencias entre sistemas y activos fijos:  
1. Corrección de placas duplicadas, marcación de equipos sin placa, llevar al comité de inventarios los equipos dados de baja y entregados a Piga, para retirar del módulo de activos, previ"&amp;"a autorización del comité. 
2. Igualmente, para complementar la acción de unificación del inventario de equipos de computo de la Subred Norte, se esta llevando a cabo por pare del área de Activos, la toma física de inventario general.
Se cuenta con el inv"&amp;"entario de equipos para baja. 372 equipos y se detectaron equipos duplicados.")</f>
        <v>Se identificaron las diferencias entre sistemas y activos fijos:  
1. Corrección de placas duplicadas, marcación de equipos sin placa, llevar al comité de inventarios los equipos dados de baja y entregados a Piga, para retirar del módulo de activos, previa autorización del comité. 
2. Igualmente, para complementar la acción de unificación del inventario de equipos de computo de la Subred Norte, se esta llevando a cabo por pare del área de Activos, la toma física de inventario general.
Se cuenta con el inventario de equipos para baja. 372 equipos y se detectaron equipos duplicados.</v>
      </c>
      <c r="F34" s="0" t="str">
        <f aca="false">IFERROR(__xludf.dummyfunction("""COMPUTED_VALUE"""),"Completo")</f>
        <v>Completo</v>
      </c>
      <c r="G34" s="20" t="str">
        <f aca="false">IFERROR(__xludf.dummyfunction("""COMPUTED_VALUE"""),"https://drive.google.com/open?id=1qPrZbIyVWl3LkX85xeZ2YiyW1kBYSzgI")</f>
        <v>https://drive.google.com/open?id=1qPrZbIyVWl3LkX85xeZ2YiyW1kBYSzgI</v>
      </c>
    </row>
    <row r="35" customFormat="false" ht="14.25" hidden="false" customHeight="false" outlineLevel="0" collapsed="false">
      <c r="A35" s="18" t="str">
        <f aca="false">IFERROR(MID(D35,1,FIND("|",D35)-1)&amp;"-"&amp;C35,"")</f>
        <v>AICI202001-3-1-4</v>
      </c>
      <c r="B35" s="19" t="n">
        <f aca="false">IFERROR(__xludf.dummyfunction("""COMPUTED_VALUE"""),44447)</f>
        <v>44447</v>
      </c>
      <c r="C35" s="0" t="n">
        <f aca="false">IFERROR(__xludf.dummyfunction("""COMPUTED_VALUE"""),4)</f>
        <v>4</v>
      </c>
      <c r="D35" s="0" t="str">
        <f aca="false">IFERROR(__xludf.dummyfunction("""COMPUTED_VALUE"""),"AICI202001-3-1| La oficina de sistemas de informacion - TIC remite a recursos fisicos el inventario de los equipos de la subred para que la oficina de activos fijos proceda al respectivo plaqueteo e inclusión en el sistema de información. (10/05/2020 - 30"&amp;"/07/2021)")</f>
        <v>AICI202001-3-1| La oficina de sistemas de informacion - TIC remite a recursos fisicos el inventario de los equipos de la subred para que la oficina de activos fijos proceda al respectivo plaqueteo e inclusión en el sistema de información. (10/05/2020 - 30/07/2021)</v>
      </c>
      <c r="E35" s="0" t="str">
        <f aca="false">IFERROR(__xludf.dummyfunction("""COMPUTED_VALUE"""),"Se determino el inventario de los equipos sin placa física:
Se encontraron 159 equipos sin placa, de los cuales 83 son de la SDS, en calidad de préstamo, y 76 de la Subred Norte. Estos equipos sin placa física, corresponden a los equipos ingresados a Acti"&amp;"vos con placa virtual. Dicho inventario se remitió a los responsables del área de activos fijos de las unidades para su respectiva plaquetización en la toma física de inventario.
En el archivo de existencias se puede verificar la identificación de dichos"&amp;" equipos")</f>
        <v>Se determino el inventario de los equipos sin placa física:
Se encontraron 159 equipos sin placa, de los cuales 83 son de la SDS, en calidad de préstamo, y 76 de la Subred Norte. Estos equipos sin placa física, corresponden a los equipos ingresados a Activos con placa virtual. Dicho inventario se remitió a los responsables del área de activos fijos de las unidades para su respectiva plaquetización en la toma física de inventario.
En el archivo de existencias se puede verificar la identificación de dichos equipos</v>
      </c>
      <c r="F35" s="0" t="str">
        <f aca="false">IFERROR(__xludf.dummyfunction("""COMPUTED_VALUE"""),"Completo")</f>
        <v>Completo</v>
      </c>
    </row>
    <row r="36" customFormat="false" ht="14.25" hidden="false" customHeight="false" outlineLevel="0" collapsed="false">
      <c r="A36" s="18" t="str">
        <f aca="false">IFERROR(MID(D36,1,FIND("|",D36)-1)&amp;"-"&amp;C36,"")</f>
        <v>AICI202001-4-1-4</v>
      </c>
      <c r="B36" s="19" t="n">
        <f aca="false">IFERROR(__xludf.dummyfunction("""COMPUTED_VALUE"""),44447)</f>
        <v>44447</v>
      </c>
      <c r="C36" s="0" t="n">
        <f aca="false">IFERROR(__xludf.dummyfunction("""COMPUTED_VALUE"""),4)</f>
        <v>4</v>
      </c>
      <c r="D36" s="0" t="str">
        <f aca="false">IFERROR(__xludf.dummyfunction("""COMPUTED_VALUE"""),"AICI202001-4-1| La oficina de sistemas de información - TIC remite a recursos físicos el inventario de los equipos de la subred para que la oficina de activos fijos proceda a verificar las placas duplicadas y realice la replaquetización y los ajustes pert"&amp;"inentes al sistema para que controle la duplicidad de placas. (10/05/2020 - 30/07/2021)")</f>
        <v>AICI202001-4-1| La oficina de sistemas de información - TIC remite a recursos físicos el inventario de los equipos de la subred para que la oficina de activos fijos proceda a verificar las placas duplicadas y realice la replaquetización y los ajustes pertinentes al sistema para que controle la duplicidad de placas. (10/05/2020 - 30/07/2021)</v>
      </c>
      <c r="E36" s="0" t="str">
        <f aca="false">IFERROR(__xludf.dummyfunction("""COMPUTED_VALUE"""),"Se realiza la verificación en el inventario remitido por el área se sistemas y se evidencia la existencia de 24 placas duplicadas, de las cuales 6 eran líneas repetidas, ya que se observo que las características técnicas, responsable y ubicación son las m"&amp;"ismas. Dentro del proceso de levantamiento de inventario se realiza la ubicación y plaquetización correspondiente.")</f>
        <v>Se realiza la verificación en el inventario remitido por el área se sistemas y se evidencia la existencia de 24 placas duplicadas, de las cuales 6 eran líneas repetidas, ya que se observo que las características técnicas, responsable y ubicación son las mismas. Dentro del proceso de levantamiento de inventario se realiza la ubicación y plaquetización correspondiente.</v>
      </c>
      <c r="F36" s="0" t="str">
        <f aca="false">IFERROR(__xludf.dummyfunction("""COMPUTED_VALUE"""),"Completo")</f>
        <v>Completo</v>
      </c>
      <c r="G36" s="20" t="str">
        <f aca="false">IFERROR(__xludf.dummyfunction("""COMPUTED_VALUE"""),"https://drive.google.com/open?id=1jMzjFiaAxJpdW_s34VdIlW0-7LL_CAD0")</f>
        <v>https://drive.google.com/open?id=1jMzjFiaAxJpdW_s34VdIlW0-7LL_CAD0</v>
      </c>
    </row>
    <row r="37" customFormat="false" ht="14.25" hidden="false" customHeight="false" outlineLevel="0" collapsed="false">
      <c r="A37" s="18" t="str">
        <f aca="false">IFERROR(MID(D37,1,FIND("|",D37)-1)&amp;"-"&amp;C37,"")</f>
        <v>AICI202001-5-1-4</v>
      </c>
      <c r="B37" s="19" t="n">
        <f aca="false">IFERROR(__xludf.dummyfunction("""COMPUTED_VALUE"""),44447)</f>
        <v>44447</v>
      </c>
      <c r="C37" s="0" t="n">
        <f aca="false">IFERROR(__xludf.dummyfunction("""COMPUTED_VALUE"""),4)</f>
        <v>4</v>
      </c>
      <c r="D37" s="0" t="str">
        <f aca="false">IFERROR(__xludf.dummyfunction("""COMPUTED_VALUE"""),"AICI202001-5-1| Reforzar las placas con materiales adhesivos de mejor calidad y remarcar con tinta no borrable en sitios de poco contacto. (10/05/2020 - 30/04/2021)")</f>
        <v>AICI202001-5-1| Reforzar las placas con materiales adhesivos de mejor calidad y remarcar con tinta no borrable en sitios de poco contacto. (10/05/2020 - 30/04/2021)</v>
      </c>
      <c r="E37" s="0" t="str">
        <f aca="false">IFERROR(__xludf.dummyfunction("""COMPUTED_VALUE"""),"El área de activos fijos realizó proceso de reforzamiento de las placas de de los equipos de computo con papel contac, para un cumplimiento del 100%.
Se hace entrega de registro fotográfico donde se evidencia el cumplimiento de acción. ")</f>
        <v>El área de activos fijos realizó proceso de reforzamiento de las placas de de los equipos de computo con papel contac, para un cumplimiento del 100%.
Se hace entrega de registro fotográfico donde se evidencia el cumplimiento de acción. </v>
      </c>
      <c r="F37" s="0" t="str">
        <f aca="false">IFERROR(__xludf.dummyfunction("""COMPUTED_VALUE"""),"Completo")</f>
        <v>Completo</v>
      </c>
      <c r="G37" s="20" t="str">
        <f aca="false">IFERROR(__xludf.dummyfunction("""COMPUTED_VALUE"""),"https://drive.google.com/open?id=1MROLB7vuZN4syYLqxXhd3gelGmSQKc3T")</f>
        <v>https://drive.google.com/open?id=1MROLB7vuZN4syYLqxXhd3gelGmSQKc3T</v>
      </c>
    </row>
    <row r="38" customFormat="false" ht="14.25" hidden="false" customHeight="false" outlineLevel="0" collapsed="false">
      <c r="A38" s="18" t="str">
        <f aca="false">IFERROR(MID(D38,1,FIND("|",D38)-1)&amp;"-"&amp;C38,"")</f>
        <v>AICI202001-7-1-4</v>
      </c>
      <c r="B38" s="19" t="n">
        <f aca="false">IFERROR(__xludf.dummyfunction("""COMPUTED_VALUE"""),44447)</f>
        <v>44447</v>
      </c>
      <c r="C38" s="0" t="n">
        <f aca="false">IFERROR(__xludf.dummyfunction("""COMPUTED_VALUE"""),4)</f>
        <v>4</v>
      </c>
      <c r="D38" s="0" t="str">
        <f aca="false">IFERROR(__xludf.dummyfunction("""COMPUTED_VALUE"""),"AICI202001-7-1| Implementacion en todos equipos de computo de la Subred Norte de la herramienta FusionInventory para tener un control avanzado del inventario a través GLPI (01/05/2020 - 30/07/2021)")</f>
        <v>AICI202001-7-1| Implementacion en todos equipos de computo de la Subred Norte de la herramienta FusionInventory para tener un control avanzado del inventario a través GLPI (01/05/2020 - 30/07/2021)</v>
      </c>
      <c r="E38" s="0" t="str">
        <f aca="false">IFERROR(__xludf.dummyfunction("""COMPUTED_VALUE"""),"El personal técnico del área de sistemas realiza la instalación del agente FusionInventory en los equipos de computo de la Subred.
No es posible instalar el software en 119 equipos, ya que existen equipos portátiles para trabajo en casas, e itinerantes p"&amp;"or la subred que no se encuentran conectados a la red de datos de manera permanente.")</f>
        <v>El personal técnico del área de sistemas realiza la instalación del agente FusionInventory en los equipos de computo de la Subred.
No es posible instalar el software en 119 equipos, ya que existen equipos portátiles para trabajo en casas, e itinerantes por la subred que no se encuentran conectados a la red de datos de manera permanente.</v>
      </c>
      <c r="F38" s="0" t="str">
        <f aca="false">IFERROR(__xludf.dummyfunction("""COMPUTED_VALUE"""),"Completo")</f>
        <v>Completo</v>
      </c>
      <c r="G38" s="20" t="str">
        <f aca="false">IFERROR(__xludf.dummyfunction("""COMPUTED_VALUE"""),"https://drive.google.com/open?id=1Rv1rA2nBVHovF_AVuKkOEcJPW13S01Iu")</f>
        <v>https://drive.google.com/open?id=1Rv1rA2nBVHovF_AVuKkOEcJPW13S01Iu</v>
      </c>
    </row>
    <row r="39" customFormat="false" ht="14.25" hidden="false" customHeight="false" outlineLevel="0" collapsed="false">
      <c r="A39" s="18" t="str">
        <f aca="false">IFERROR(MID(D39,1,FIND("|",D39)-1)&amp;"-"&amp;C39,"")</f>
        <v>AICI202001-8-1-4</v>
      </c>
      <c r="B39" s="19" t="n">
        <f aca="false">IFERROR(__xludf.dummyfunction("""COMPUTED_VALUE"""),44447)</f>
        <v>44447</v>
      </c>
      <c r="C39" s="0" t="n">
        <f aca="false">IFERROR(__xludf.dummyfunction("""COMPUTED_VALUE"""),4)</f>
        <v>4</v>
      </c>
      <c r="D39" s="0" t="str">
        <f aca="false">IFERROR(__xludf.dummyfunction("""COMPUTED_VALUE"""),"AICI202001-8-1| Aplicar los controles establecidos en el Riesgo 5. Software obsoleto o no licenciado del mapa de riesgos de la vigencia 2020. (01/05/2020 - 30/07/2021)")</f>
        <v>AICI202001-8-1| Aplicar los controles establecidos en el Riesgo 5. Software obsoleto o no licenciado del mapa de riesgos de la vigencia 2020. (01/05/2020 - 30/07/2021)</v>
      </c>
      <c r="E39" s="0" t="str">
        <f aca="false">IFERROR(__xludf.dummyfunction("""COMPUTED_VALUE"""),"Al revisar los controles del riesgo 5 (software obsoleto o no licenciado) se evidencia:
1. Se aplican políticas en los perfiles de usuario que impiden la instalación o desinstalación de software.
2. Se estructura el proyecto ""Adquisición de recursos tecn"&amp;"ológicos necesarios para actualizar la infraestructura TIC de la Subred Norte ESE"",  se radica ante la Directora de Análisis de Entidades Públicas Distritales del Sector Salud - DAEPS, de la Secretaría Distrital de Salud  2021ER33846 de fecha 17 de agost"&amp;"o de 2021, en donde se involucró la totalidad de obsolescencia. 
3. De igual forma se cuenta con contrato de prestación de servicios de alquiler N° 056 DE 2019, suscrito entre la Subred Norte ESE y la empresa  NECSOFTPC LTDA, con corte a la fecha del pres"&amp;"ente seguimiento se cuenta con 109 equipos en modalidad de arriendo.")</f>
        <v>Al revisar los controles del riesgo 5 (software obsoleto o no licenciado) se evidencia:
1. Se aplican políticas en los perfiles de usuario que impiden la instalación o desinstalación de software.
2. Se estructura el proyecto "Adquisición de recursos tecnológicos necesarios para actualizar la infraestructura TIC de la Subred Norte ESE",  se radica ante la Directora de Análisis de Entidades Públicas Distritales del Sector Salud - DAEPS, de la Secretaría Distrital de Salud  2021ER33846 de fecha 17 de agosto de 2021, en donde se involucró la totalidad de obsolescencia. 
3. De igual forma se cuenta con contrato de prestación de servicios de alquiler N° 056 DE 2019, suscrito entre la Subred Norte ESE y la empresa  NECSOFTPC LTDA, con corte a la fecha del presente seguimiento se cuenta con 109 equipos en modalidad de arriendo.</v>
      </c>
      <c r="F39" s="0" t="str">
        <f aca="false">IFERROR(__xludf.dummyfunction("""COMPUTED_VALUE"""),"Completo")</f>
        <v>Completo</v>
      </c>
    </row>
    <row r="40" customFormat="false" ht="14.25" hidden="false" customHeight="false" outlineLevel="0" collapsed="false">
      <c r="A40" s="18" t="str">
        <f aca="false">IFERROR(MID(D40,1,FIND("|",D40)-1)&amp;"-"&amp;C40,"")</f>
        <v>AICI202001-9-1-4</v>
      </c>
      <c r="B40" s="19" t="n">
        <f aca="false">IFERROR(__xludf.dummyfunction("""COMPUTED_VALUE"""),44447)</f>
        <v>44447</v>
      </c>
      <c r="C40" s="0" t="n">
        <f aca="false">IFERROR(__xludf.dummyfunction("""COMPUTED_VALUE"""),4)</f>
        <v>4</v>
      </c>
      <c r="D40" s="0" t="str">
        <f aca="false">IFERROR(__xludf.dummyfunction("""COMPUTED_VALUE"""),"AICI202001-9-1| Upgrade de los sistemas operativos Windows 7 (01/06/2020 - 30/07/2021)")</f>
        <v>AICI202001-9-1| Upgrade de los sistemas operativos Windows 7 (01/06/2020 - 30/07/2021)</v>
      </c>
      <c r="E40" s="0" t="str">
        <f aca="false">IFERROR(__xludf.dummyfunction("""COMPUTED_VALUE"""),"Se realizó la actualización de sistema operativo a 128 equipos de computo con Windows 10.  Los demás equipos no fue posible hacer la actualización por políticas de Microsoft,  por inconvenientes de compatibilidad de software de equipos biomédicos y hardwa"&amp;"re que no soporta la actualizació.")</f>
        <v>Se realizó la actualización de sistema operativo a 128 equipos de computo con Windows 10.  Los demás equipos no fue posible hacer la actualización por políticas de Microsoft,  por inconvenientes de compatibilidad de software de equipos biomédicos y hardware que no soporta la actualizació.</v>
      </c>
      <c r="F40" s="0" t="str">
        <f aca="false">IFERROR(__xludf.dummyfunction("""COMPUTED_VALUE"""),"Completo")</f>
        <v>Completo</v>
      </c>
      <c r="G40" s="20" t="str">
        <f aca="false">IFERROR(__xludf.dummyfunction("""COMPUTED_VALUE"""),"https://drive.google.com/open?id=1KWgnQBuR44azG71fgNs1KI4mP3R-c7tk")</f>
        <v>https://drive.google.com/open?id=1KWgnQBuR44azG71fgNs1KI4mP3R-c7tk</v>
      </c>
    </row>
    <row r="41" customFormat="false" ht="14.25" hidden="false" customHeight="false" outlineLevel="0" collapsed="false">
      <c r="A41" s="18" t="str">
        <f aca="false">IFERROR(MID(D41,1,FIND("|",D41)-1)&amp;"-"&amp;C41,"")</f>
        <v>AICI202001-9-2-4</v>
      </c>
      <c r="B41" s="19" t="n">
        <f aca="false">IFERROR(__xludf.dummyfunction("""COMPUTED_VALUE"""),44447)</f>
        <v>44447</v>
      </c>
      <c r="C41" s="0" t="n">
        <f aca="false">IFERROR(__xludf.dummyfunction("""COMPUTED_VALUE"""),4)</f>
        <v>4</v>
      </c>
      <c r="D41" s="0" t="str">
        <f aca="false">IFERROR(__xludf.dummyfunction("""COMPUTED_VALUE"""),"AICI202001-9-2| Reposición de los equipos con sistema operativo Windows Vista y XP. (01/06/2020 - 30/07/2021)")</f>
        <v>AICI202001-9-2| Reposición de los equipos con sistema operativo Windows Vista y XP. (01/06/2020 - 30/07/2021)</v>
      </c>
      <c r="E41" s="0" t="str">
        <f aca="false">IFERROR(__xludf.dummyfunction("""COMPUTED_VALUE"""),"Se estructura el proyecto ""Adquisición de recursos tecnológicos necesarios para actualizar la infraestructura TIC de la Subred Norte ESE"", se radica ante la Directora de Análisis de Entidades Públicas Distritales del Sector Salud - DAEPS, de la Secretar"&amp;"ía Distrital de Salud   con número 2021ER33846 de fecha 17 de agosto de 2021.")</f>
        <v>Se estructura el proyecto "Adquisición de recursos tecnológicos necesarios para actualizar la infraestructura TIC de la Subred Norte ESE", se radica ante la Directora de Análisis de Entidades Públicas Distritales del Sector Salud - DAEPS, de la Secretaría Distrital de Salud   con número 2021ER33846 de fecha 17 de agosto de 2021.</v>
      </c>
      <c r="F41" s="0" t="str">
        <f aca="false">IFERROR(__xludf.dummyfunction("""COMPUTED_VALUE"""),"Completo")</f>
        <v>Completo</v>
      </c>
      <c r="G41" s="20" t="str">
        <f aca="false">IFERROR(__xludf.dummyfunction("""COMPUTED_VALUE"""),"https://drive.google.com/open?id=1Ih2iUuYwaMxsvcEc5GpgR9duDAXXSdDD")</f>
        <v>https://drive.google.com/open?id=1Ih2iUuYwaMxsvcEc5GpgR9duDAXXSdDD</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row r="1000" customFormat="false" ht="14.25" hidden="false" customHeight="false" outlineLevel="0" collapsed="false">
      <c r="A1000" s="18" t="str">
        <f aca="false">IFERROR(MID(D1000,1,FIND("|",D1000)-1)&amp;"-"&amp;C1000,"")</f>
        <v/>
      </c>
    </row>
  </sheetData>
  <hyperlinks>
    <hyperlink ref="G12" r:id="rId1" display="https://drive.google.com/open?id=1NDFAuhnygGqUtmq-yvbEbSvFQfuQcSZf"/>
    <hyperlink ref="G14" r:id="rId2" display="https://drive.google.com/open?id=1j_VZzLb2IFMpeCUEsEkep3Kpv6jcGRQV"/>
    <hyperlink ref="G15" r:id="rId3" display="https://drive.google.com/open?id=1sZDzL_GOqKpLKyPEAtjbk9DG8tR-ksLb"/>
    <hyperlink ref="G16" r:id="rId4" display="https://drive.google.com/open?id=18OyZpSs1FilQGTRbf1FDTu7hr59l6Eze"/>
    <hyperlink ref="G17" r:id="rId5" display="https://drive.google.com/open?id=1ZbF6RIZyuqO9dLKDLQ5m8-ll3qXX0pDb"/>
    <hyperlink ref="G18" r:id="rId6" display="https://drive.google.com/open?id=1s0kV3SQ2NgYiTne6HQgxzqNgCj0rPXWu"/>
    <hyperlink ref="G20" r:id="rId7" display="https://drive.google.com/open?id=1hzbiXUYdXmtWij4KlXuJ401iFFI1O9wD"/>
    <hyperlink ref="G30" r:id="rId8" display="https://drive.google.com/open?id=1XGMciwNNfsp-PSNJQLDS0j_MzYTeirUO"/>
    <hyperlink ref="G34" r:id="rId9" display="https://drive.google.com/open?id=1qPrZbIyVWl3LkX85xeZ2YiyW1kBYSzgI"/>
    <hyperlink ref="G36" r:id="rId10" display="https://drive.google.com/open?id=1jMzjFiaAxJpdW_s34VdIlW0-7LL_CAD0"/>
    <hyperlink ref="G37" r:id="rId11" display="https://drive.google.com/open?id=1MROLB7vuZN4syYLqxXhd3gelGmSQKc3T"/>
    <hyperlink ref="G38" r:id="rId12" display="https://drive.google.com/open?id=1Rv1rA2nBVHovF_AVuKkOEcJPW13S01Iu"/>
    <hyperlink ref="G40" r:id="rId13" display="https://drive.google.com/open?id=1KWgnQBuR44azG71fgNs1KI4mP3R-c7tk"/>
    <hyperlink ref="G41" r:id="rId14" display="https://drive.google.com/open?id=1Ih2iUuYwaMxsvcEc5GpgR9duDAXXSdDD"/>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6.14"/>
  </cols>
  <sheetData>
    <row r="1" customFormat="false" ht="12.75" hidden="false" customHeight="false" outlineLevel="0" collapsed="false">
      <c r="A1" s="13" t="s">
        <v>1819</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AICI202002-1-1-1</v>
      </c>
      <c r="B4" s="19" t="n">
        <f aca="false">IFERROR(__xludf.dummyfunction("""COMPUTED_VALUE"""),44320)</f>
        <v>44320</v>
      </c>
      <c r="C4" s="0" t="n">
        <f aca="false">IFERROR(__xludf.dummyfunction("""COMPUTED_VALUE"""),1)</f>
        <v>1</v>
      </c>
      <c r="D4" s="0" t="str">
        <f aca="false">IFERROR(__xludf.dummyfunction("""COMPUTED_VALUE"""),"AICI202002-1-1| Se realizara actualizacion del PGIRH incluyendo las rutas sanitarias de todos los centros (17/02/2021 - 30/09/2021)")</f>
        <v>AICI202002-1-1| Se realizara actualizacion del PGIRH incluyendo las rutas sanitarias de todos los centros (17/02/2021 - 30/09/2021)</v>
      </c>
      <c r="E4" s="0" t="str">
        <f aca="false">IFERROR(__xludf.dummyfunction("""COMPUTED_VALUE"""),"Se están actualizando las rutas sanitarias  en las unidades con mayor intervenciones locativas y se continua actualizado de los procesos  ( Formatos RH1) para luego remitir a normalización")</f>
        <v>Se están actualizando las rutas sanitarias  en las unidades con mayor intervenciones locativas y se continua actualizado de los procesos  ( Formatos RH1) para luego remitir a normalización</v>
      </c>
      <c r="F4" s="0" t="str">
        <f aca="false">IFERROR(__xludf.dummyfunction("""COMPUTED_VALUE"""),"En desarrollo")</f>
        <v>En desarrollo</v>
      </c>
      <c r="G4" s="0" t="str">
        <f aca="false">IFERROR(__xludf.dummyfunction("""COMPUTED_VALUE"""),"https://drive.google.com/open?id=1rK8n3TMl7Qq7hevV6CT22xFsbJr01Wx-, https://drive.google.com/open?id=1OS6wfx9SY7qCNizgX9JAL3qWfFk8wq5_, https://drive.google.com/open?id=13UAFgNbE8lCYN1zGPBq4yHJGtZfzEYLB")</f>
        <v>https://drive.google.com/open?id=1rK8n3TMl7Qq7hevV6CT22xFsbJr01Wx-, https://drive.google.com/open?id=1OS6wfx9SY7qCNizgX9JAL3qWfFk8wq5_, https://drive.google.com/open?id=13UAFgNbE8lCYN1zGPBq4yHJGtZfzEYLB</v>
      </c>
    </row>
    <row r="5" customFormat="false" ht="14.25" hidden="false" customHeight="false" outlineLevel="0" collapsed="false">
      <c r="A5" s="18" t="str">
        <f aca="false">IFERROR(MID(D5,1,FIND("|",D5)-1)&amp;"-"&amp;C5,"")</f>
        <v>AICI202002-2-1-1</v>
      </c>
      <c r="B5" s="19" t="n">
        <f aca="false">IFERROR(__xludf.dummyfunction("""COMPUTED_VALUE"""),44320)</f>
        <v>44320</v>
      </c>
      <c r="C5" s="0" t="n">
        <f aca="false">IFERROR(__xludf.dummyfunction("""COMPUTED_VALUE"""),1)</f>
        <v>1</v>
      </c>
      <c r="D5" s="0" t="str">
        <f aca="false">IFERROR(__xludf.dummyfunction("""COMPUTED_VALUE"""),"AICI202002-2-1| Capacitar al personal encargado de realizar la marcacion y la ruta sanitaria. (17/02/2021 - 31/03/2021)")</f>
        <v>AICI202002-2-1| Capacitar al personal encargado de realizar la marcacion y la ruta sanitaria. (17/02/2021 - 31/03/2021)</v>
      </c>
      <c r="E5" s="0" t="str">
        <f aca="false">IFERROR(__xludf.dummyfunction("""COMPUTED_VALUE"""),"Se evidencian capacitaciones nuevamente de diferentes puntos de servicio tratando los temas de segmentación de los residuos para el personal de servicios generales y de servicios  ademas hay evidencia de rótulos  correctos en los residuos")</f>
        <v>Se evidencian capacitaciones nuevamente de diferentes puntos de servicio tratando los temas de segmentación de los residuos para el personal de servicios generales y de servicios  ademas hay evidencia de rótulos  correctos en los residuos</v>
      </c>
      <c r="F5" s="0" t="str">
        <f aca="false">IFERROR(__xludf.dummyfunction("""COMPUTED_VALUE"""),"En desarrollo")</f>
        <v>En desarrollo</v>
      </c>
      <c r="G5" s="0" t="str">
        <f aca="false">IFERROR(__xludf.dummyfunction("""COMPUTED_VALUE"""),"https://drive.google.com/open?id=17rEwsoj2_BMrT_Ly6H24C7OgZY_zFbVU, https://drive.google.com/open?id=1U7oSRPkXb81X6TIgc3mG60gjPwlFVH0R, https://drive.google.com/open?id=1asfWdobt5LnBDJBVNoGBVP6M27QBgMrx, https://drive.google.com/open?id=1lLa_823NORFXZ8bwZ"&amp;"0hWXi6PIxk2cBPQ, https://drive.google.com/open?id=1wh2B8VkW--bxfyCVle6ZZ2xMLD4X0Wce")</f>
        <v>https://drive.google.com/open?id=17rEwsoj2_BMrT_Ly6H24C7OgZY_zFbVU, https://drive.google.com/open?id=1U7oSRPkXb81X6TIgc3mG60gjPwlFVH0R, https://drive.google.com/open?id=1asfWdobt5LnBDJBVNoGBVP6M27QBgMrx, https://drive.google.com/open?id=1lLa_823NORFXZ8bwZ0hWXi6PIxk2cBPQ, https://drive.google.com/open?id=1wh2B8VkW--bxfyCVle6ZZ2xMLD4X0Wce</v>
      </c>
    </row>
    <row r="6" customFormat="false" ht="14.25" hidden="false" customHeight="false" outlineLevel="0" collapsed="false">
      <c r="A6" s="18" t="str">
        <f aca="false">IFERROR(MID(D6,1,FIND("|",D6)-1)&amp;"-"&amp;C6,"")</f>
        <v>AICI202002-3-1-1</v>
      </c>
      <c r="B6" s="19" t="n">
        <f aca="false">IFERROR(__xludf.dummyfunction("""COMPUTED_VALUE"""),44320)</f>
        <v>44320</v>
      </c>
      <c r="C6" s="0" t="n">
        <f aca="false">IFERROR(__xludf.dummyfunction("""COMPUTED_VALUE"""),1)</f>
        <v>1</v>
      </c>
      <c r="D6" s="0" t="str">
        <f aca="false">IFERROR(__xludf.dummyfunction("""COMPUTED_VALUE"""),"AICI202002-3-1| Se realizara revision a los centrales e instalara la marcancion pendiente de acuerdo a lo requerido. (17/02/2021 - 31/03/2021)")</f>
        <v>AICI202002-3-1| Se realizara revision a los centrales e instalara la marcancion pendiente de acuerdo a lo requerido. (17/02/2021 - 31/03/2021)</v>
      </c>
      <c r="E6" s="0" t="str">
        <f aca="false">IFERROR(__xludf.dummyfunction("""COMPUTED_VALUE"""),"se ha realizado demarcación de los depósitos y de la clasificación de los residuos dentro de los depósitos, se debe continuar reforzando  el tema")</f>
        <v>se ha realizado demarcación de los depósitos y de la clasificación de los residuos dentro de los depósitos, se debe continuar reforzando  el tema</v>
      </c>
      <c r="F6" s="0" t="str">
        <f aca="false">IFERROR(__xludf.dummyfunction("""COMPUTED_VALUE"""),"Completo")</f>
        <v>Completo</v>
      </c>
      <c r="G6" s="0" t="str">
        <f aca="false">IFERROR(__xludf.dummyfunction("""COMPUTED_VALUE"""),"https://drive.google.com/open?id=12DYDt8MsQRfAvKUWV4wnWWIseRqAuvsw, https://drive.google.com/open?id=1Nd0bhiOyBHF5fnKDC4fhNLnhhR95TMIH, https://drive.google.com/open?id=1uwJgnsAAb4h7ryvOa1Jp3W0L6_Hxa9vU, https://drive.google.com/open?id=1m8M5fBkU0Cb-xYeSX"&amp;"_ncNA91jEjGJYD1, https://drive.google.com/open?id=1_2ce0SumH27m8kDdJxmc_XNrJhx5E_jx")</f>
        <v>https://drive.google.com/open?id=12DYDt8MsQRfAvKUWV4wnWWIseRqAuvsw, https://drive.google.com/open?id=1Nd0bhiOyBHF5fnKDC4fhNLnhhR95TMIH, https://drive.google.com/open?id=1uwJgnsAAb4h7ryvOa1Jp3W0L6_Hxa9vU, https://drive.google.com/open?id=1m8M5fBkU0Cb-xYeSX_ncNA91jEjGJYD1, https://drive.google.com/open?id=1_2ce0SumH27m8kDdJxmc_XNrJhx5E_jx</v>
      </c>
    </row>
    <row r="7" customFormat="false" ht="14.25" hidden="false" customHeight="false" outlineLevel="0" collapsed="false">
      <c r="A7" s="18" t="str">
        <f aca="false">IFERROR(MID(D7,1,FIND("|",D7)-1)&amp;"-"&amp;C7,"")</f>
        <v>AICI202002-4-1-1</v>
      </c>
      <c r="B7" s="19" t="n">
        <f aca="false">IFERROR(__xludf.dummyfunction("""COMPUTED_VALUE"""),44320)</f>
        <v>44320</v>
      </c>
      <c r="C7" s="0" t="n">
        <f aca="false">IFERROR(__xludf.dummyfunction("""COMPUTED_VALUE"""),1)</f>
        <v>1</v>
      </c>
      <c r="D7" s="0" t="str">
        <f aca="false">IFERROR(__xludf.dummyfunction("""COMPUTED_VALUE"""),"AICI202002-4-1| Se realizará reparación y mantenimiento de las puertas evidenciadas en mal estado, así como el suministro de candados en las unidades que se requieran (17/02/2021 - 31/12/2021)")</f>
        <v>AICI202002-4-1| Se realizará reparación y mantenimiento de las puertas evidenciadas en mal estado, así como el suministro de candados en las unidades que se requieran (17/02/2021 - 31/12/2021)</v>
      </c>
      <c r="E7" s="0" t="str">
        <f aca="false">IFERROR(__xludf.dummyfunction("""COMPUTED_VALUE"""),"Se continua solicitando candados y adecuación de chapas  para garantizar la seguridad de los depósitos se  evidencias caso en mesa de ayuda con las solicitudes  ya se ha logrado en algunos puntos como suba y san cristóbal")</f>
        <v>Se continua solicitando candados y adecuación de chapas  para garantizar la seguridad de los depósitos se  evidencias caso en mesa de ayuda con las solicitudes  ya se ha logrado en algunos puntos como suba y san cristóbal</v>
      </c>
      <c r="F7" s="0" t="str">
        <f aca="false">IFERROR(__xludf.dummyfunction("""COMPUTED_VALUE"""),"En desarrollo")</f>
        <v>En desarrollo</v>
      </c>
      <c r="G7" s="0" t="str">
        <f aca="false">IFERROR(__xludf.dummyfunction("""COMPUTED_VALUE"""),"https://drive.google.com/open?id=1MmfA3sDWyKhNsjpGuEI_rZOFF4QE15ja, https://drive.google.com/open?id=1djFOZ2o5Z1_RtsclwZG54M_QoyjKIjLh, https://drive.google.com/open?id=1z1Ya4Uq9zX6CvKqrTA4x8FDPr2y9BIik, https://drive.google.com/open?id=1Nzjz8G78xVMhVdUSP"&amp;"H8OoTkIpRvMMDW-")</f>
        <v>https://drive.google.com/open?id=1MmfA3sDWyKhNsjpGuEI_rZOFF4QE15ja, https://drive.google.com/open?id=1djFOZ2o5Z1_RtsclwZG54M_QoyjKIjLh, https://drive.google.com/open?id=1z1Ya4Uq9zX6CvKqrTA4x8FDPr2y9BIik, https://drive.google.com/open?id=1Nzjz8G78xVMhVdUSPH8OoTkIpRvMMDW-</v>
      </c>
    </row>
    <row r="8" customFormat="false" ht="14.25" hidden="false" customHeight="false" outlineLevel="0" collapsed="false">
      <c r="A8" s="18" t="str">
        <f aca="false">IFERROR(MID(D8,1,FIND("|",D8)-1)&amp;"-"&amp;C8,"")</f>
        <v>AICI202002-5-1-1</v>
      </c>
      <c r="B8" s="19" t="n">
        <f aca="false">IFERROR(__xludf.dummyfunction("""COMPUTED_VALUE"""),44320)</f>
        <v>44320</v>
      </c>
      <c r="C8" s="0" t="n">
        <f aca="false">IFERROR(__xludf.dummyfunction("""COMPUTED_VALUE"""),1)</f>
        <v>1</v>
      </c>
      <c r="D8" s="0" t="str">
        <f aca="false">IFERROR(__xludf.dummyfunction("""COMPUTED_VALUE"""),"AICI202002-5-1| Se realizará revisión y cambio de los elementos deteriorados (17/02/2021 - 31/12/2021)")</f>
        <v>AICI202002-5-1| Se realizará revisión y cambio de los elementos deteriorados (17/02/2021 - 31/12/2021)</v>
      </c>
      <c r="E8" s="0" t="str">
        <f aca="false">IFERROR(__xludf.dummyfunction("""COMPUTED_VALUE"""),"Los elementos que se encontraban en mal estado se ha remplazado por elementos en buenos estado y como se tiene pendiente el cambio de los elementos por el cambio de código de colores según  resolución 2184 de 2019")</f>
        <v>Los elementos que se encontraban en mal estado se ha remplazado por elementos en buenos estado y como se tiene pendiente el cambio de los elementos por el cambio de código de colores según  resolución 2184 de 2019</v>
      </c>
      <c r="F8" s="0" t="str">
        <f aca="false">IFERROR(__xludf.dummyfunction("""COMPUTED_VALUE"""),"Completo")</f>
        <v>Completo</v>
      </c>
      <c r="G8" s="0" t="str">
        <f aca="false">IFERROR(__xludf.dummyfunction("""COMPUTED_VALUE"""),"https://drive.google.com/open?id=15g-_t9n3K_TAElARAJdsDGT6sziwOuN8, https://drive.google.com/open?id=1koYB_9rMWhGOW3GWmNO6IkcSoWJpMziW, https://drive.google.com/open?id=1nNcF7Okp6uFRoT-Sutz0rrGFvjFuZF7a")</f>
        <v>https://drive.google.com/open?id=15g-_t9n3K_TAElARAJdsDGT6sziwOuN8, https://drive.google.com/open?id=1koYB_9rMWhGOW3GWmNO6IkcSoWJpMziW, https://drive.google.com/open?id=1nNcF7Okp6uFRoT-Sutz0rrGFvjFuZF7a</v>
      </c>
    </row>
    <row r="9" customFormat="false" ht="14.25" hidden="false" customHeight="false" outlineLevel="0" collapsed="false">
      <c r="A9" s="18" t="str">
        <f aca="false">IFERROR(MID(D9,1,FIND("|",D9)-1)&amp;"-"&amp;C9,"")</f>
        <v>AICI202002-6-1-1</v>
      </c>
      <c r="B9" s="19" t="n">
        <f aca="false">IFERROR(__xludf.dummyfunction("""COMPUTED_VALUE"""),44320)</f>
        <v>44320</v>
      </c>
      <c r="C9" s="0" t="n">
        <f aca="false">IFERROR(__xludf.dummyfunction("""COMPUTED_VALUE"""),1)</f>
        <v>1</v>
      </c>
      <c r="D9" s="0" t="str">
        <f aca="false">IFERROR(__xludf.dummyfunction("""COMPUTED_VALUE"""),"AICI202002-6-1| Se realizará reparación y mantenimiento de los cuartos centrales de almacenamiento, de acuerdo al plan de mantenimiento establecido (17/02/2021 - 31/12/2021)")</f>
        <v>AICI202002-6-1| Se realizará reparación y mantenimiento de los cuartos centrales de almacenamiento, de acuerdo al plan de mantenimiento establecido (17/02/2021 - 31/12/2021)</v>
      </c>
      <c r="E9" s="0" t="str">
        <f aca="false">IFERROR(__xludf.dummyfunction("""COMPUTED_VALUE"""),"hay evidencia de cumplimiento en unidades como Simon Bolivar, chapinero,  faltan algunas que tiene los casos de mesa de ayuda abiertos  que estan pendientes")</f>
        <v>hay evidencia de cumplimiento en unidades como Simon Bolivar, chapinero,  faltan algunas que tiene los casos de mesa de ayuda abiertos  que estan pendientes</v>
      </c>
      <c r="F9" s="0" t="str">
        <f aca="false">IFERROR(__xludf.dummyfunction("""COMPUTED_VALUE"""),"En desarrollo")</f>
        <v>En desarrollo</v>
      </c>
      <c r="G9" s="0" t="str">
        <f aca="false">IFERROR(__xludf.dummyfunction("""COMPUTED_VALUE"""),"https://drive.google.com/open?id=1m80dKvVw_JL9TLacjqK4qwQ6AnAcpvKn, https://drive.google.com/open?id=1n92_xKPF1A78_tjMWBCgIc-pRfU86qET")</f>
        <v>https://drive.google.com/open?id=1m80dKvVw_JL9TLacjqK4qwQ6AnAcpvKn, https://drive.google.com/open?id=1n92_xKPF1A78_tjMWBCgIc-pRfU86qET</v>
      </c>
    </row>
    <row r="10" customFormat="false" ht="14.25" hidden="false" customHeight="false" outlineLevel="0" collapsed="false">
      <c r="A10" s="18" t="str">
        <f aca="false">IFERROR(MID(D10,1,FIND("|",D10)-1)&amp;"-"&amp;C10,"")</f>
        <v>AICI202002-1-1-2</v>
      </c>
      <c r="B10" s="19" t="n">
        <f aca="false">IFERROR(__xludf.dummyfunction("""COMPUTED_VALUE"""),44431)</f>
        <v>44431</v>
      </c>
      <c r="C10" s="0" t="n">
        <f aca="false">IFERROR(__xludf.dummyfunction("""COMPUTED_VALUE"""),2)</f>
        <v>2</v>
      </c>
      <c r="D10" s="0" t="str">
        <f aca="false">IFERROR(__xludf.dummyfunction("""COMPUTED_VALUE"""),"AICI202002-1-1| Se realizara actualizacion del PGIRH incluyendo las rutas sanitarias de todos los centros (17/02/2021 - 30/09/2021)")</f>
        <v>AICI202002-1-1| Se realizara actualizacion del PGIRH incluyendo las rutas sanitarias de todos los centros (17/02/2021 - 30/09/2021)</v>
      </c>
      <c r="E10" s="0" t="str">
        <f aca="false">IFERROR(__xludf.dummyfunction("""COMPUTED_VALUE"""),"Las rutas se continúan actualizando en las unidades tanto grandes como pequeñas. El documento del PGRH  tiene fecha de actualización para septiembre, falta temas de control documental y  algunos temas específicos para pasarlo a normalizar en calidad.")</f>
        <v>Las rutas se continúan actualizando en las unidades tanto grandes como pequeñas. El documento del PGRH  tiene fecha de actualización para septiembre, falta temas de control documental y  algunos temas específicos para pasarlo a normalizar en calidad.</v>
      </c>
      <c r="F10" s="0" t="str">
        <f aca="false">IFERROR(__xludf.dummyfunction("""COMPUTED_VALUE"""),"En desarrollo")</f>
        <v>En desarrollo</v>
      </c>
      <c r="G10" s="0" t="str">
        <f aca="false">IFERROR(__xludf.dummyfunction("""COMPUTED_VALUE"""),"https://drive.google.com/open?id=1Y-ENpwtN7LJHBcS_vwSog5kEOzJ5f-P5, https://drive.google.com/open?id=19sn1lGyDqd4PWNcATfT9BUECTaY63wYe, https://drive.google.com/open?id=1tRDtmHMr54E1l_OogGqvzEPC26dBosKL, https://drive.google.com/open?id=1i7uFyMrsRYlngjYgk"&amp;"zwt9z6mV1PRP_n6")</f>
        <v>https://drive.google.com/open?id=1Y-ENpwtN7LJHBcS_vwSog5kEOzJ5f-P5, https://drive.google.com/open?id=19sn1lGyDqd4PWNcATfT9BUECTaY63wYe, https://drive.google.com/open?id=1tRDtmHMr54E1l_OogGqvzEPC26dBosKL, https://drive.google.com/open?id=1i7uFyMrsRYlngjYgkzwt9z6mV1PRP_n6</v>
      </c>
    </row>
    <row r="11" customFormat="false" ht="14.25" hidden="false" customHeight="false" outlineLevel="0" collapsed="false">
      <c r="A11" s="18" t="str">
        <f aca="false">IFERROR(MID(D11,1,FIND("|",D11)-1)&amp;"-"&amp;C11,"")</f>
        <v>AICI202002-2-1-2</v>
      </c>
      <c r="B11" s="19" t="n">
        <f aca="false">IFERROR(__xludf.dummyfunction("""COMPUTED_VALUE"""),44431)</f>
        <v>44431</v>
      </c>
      <c r="C11" s="0" t="n">
        <f aca="false">IFERROR(__xludf.dummyfunction("""COMPUTED_VALUE"""),2)</f>
        <v>2</v>
      </c>
      <c r="D11" s="0" t="str">
        <f aca="false">IFERROR(__xludf.dummyfunction("""COMPUTED_VALUE"""),"AICI202002-2-1| Capacitar al personal encargado de realizar la marcacion y la ruta sanitaria. (17/02/2021 - 31/03/2021)")</f>
        <v>AICI202002-2-1| Capacitar al personal encargado de realizar la marcacion y la ruta sanitaria. (17/02/2021 - 31/03/2021)</v>
      </c>
      <c r="E11" s="0" t="str">
        <f aca="false">IFERROR(__xludf.dummyfunction("""COMPUTED_VALUE"""),"Se continúan con las capacitaciones  al personal sobre temas de segmentación y manejo de residuos  se revisaron capacitaciones de junio y julio. la acción fue completada en el seguimiento anterior")</f>
        <v>Se continúan con las capacitaciones  al personal sobre temas de segmentación y manejo de residuos  se revisaron capacitaciones de junio y julio. la acción fue completada en el seguimiento anterior</v>
      </c>
      <c r="F11" s="0" t="str">
        <f aca="false">IFERROR(__xludf.dummyfunction("""COMPUTED_VALUE"""),"Completo")</f>
        <v>Completo</v>
      </c>
      <c r="G11" s="0" t="str">
        <f aca="false">IFERROR(__xludf.dummyfunction("""COMPUTED_VALUE"""),"https://drive.google.com/open?id=1Wlsy6FJX4gQlV_t8MpsSUysuIqK2793a, https://drive.google.com/open?id=1Rxx3mSIaRp0XOVX-m-js0ah8SyTViE_Z")</f>
        <v>https://drive.google.com/open?id=1Wlsy6FJX4gQlV_t8MpsSUysuIqK2793a, https://drive.google.com/open?id=1Rxx3mSIaRp0XOVX-m-js0ah8SyTViE_Z</v>
      </c>
    </row>
    <row r="12" customFormat="false" ht="14.25" hidden="false" customHeight="false" outlineLevel="0" collapsed="false">
      <c r="A12" s="18" t="str">
        <f aca="false">IFERROR(MID(D12,1,FIND("|",D12)-1)&amp;"-"&amp;C12,"")</f>
        <v>AICI202002-3-1-2</v>
      </c>
      <c r="B12" s="19" t="n">
        <f aca="false">IFERROR(__xludf.dummyfunction("""COMPUTED_VALUE"""),44431)</f>
        <v>44431</v>
      </c>
      <c r="C12" s="0" t="n">
        <f aca="false">IFERROR(__xludf.dummyfunction("""COMPUTED_VALUE"""),2)</f>
        <v>2</v>
      </c>
      <c r="D12" s="0" t="str">
        <f aca="false">IFERROR(__xludf.dummyfunction("""COMPUTED_VALUE"""),"AICI202002-3-1| Se realizara revision a los centrales e instalara la marcancion pendiente de acuerdo a lo requerido. (17/02/2021 - 31/03/2021)")</f>
        <v>AICI202002-3-1| Se realizara revision a los centrales e instalara la marcancion pendiente de acuerdo a lo requerido. (17/02/2021 - 31/03/2021)</v>
      </c>
      <c r="E12" s="0" t="str">
        <f aca="false">IFERROR(__xludf.dummyfunction("""COMPUTED_VALUE"""),"Se mantiene el estado de la demarcación de los cuartos de residuos y de los tipos de residuos   estaba completo desde el seguimiento anterior")</f>
        <v>Se mantiene el estado de la demarcación de los cuartos de residuos y de los tipos de residuos   estaba completo desde el seguimiento anterior</v>
      </c>
      <c r="F12" s="0" t="str">
        <f aca="false">IFERROR(__xludf.dummyfunction("""COMPUTED_VALUE"""),"Completo")</f>
        <v>Completo</v>
      </c>
      <c r="G12" s="0" t="str">
        <f aca="false">IFERROR(__xludf.dummyfunction("""COMPUTED_VALUE"""),"https://drive.google.com/open?id=1HJarbDsIHec6C_Z2tyZv-Ky38TZ99d5J, https://drive.google.com/open?id=1XeElamfS6S60c8azEM6YG9k9szOrljUk")</f>
        <v>https://drive.google.com/open?id=1HJarbDsIHec6C_Z2tyZv-Ky38TZ99d5J, https://drive.google.com/open?id=1XeElamfS6S60c8azEM6YG9k9szOrljUk</v>
      </c>
    </row>
    <row r="13" customFormat="false" ht="14.25" hidden="false" customHeight="false" outlineLevel="0" collapsed="false">
      <c r="A13" s="18" t="str">
        <f aca="false">IFERROR(MID(D13,1,FIND("|",D13)-1)&amp;"-"&amp;C13,"")</f>
        <v>AICI202002-4-1-2</v>
      </c>
      <c r="B13" s="19" t="n">
        <f aca="false">IFERROR(__xludf.dummyfunction("""COMPUTED_VALUE"""),44431)</f>
        <v>44431</v>
      </c>
      <c r="C13" s="0" t="n">
        <f aca="false">IFERROR(__xludf.dummyfunction("""COMPUTED_VALUE"""),2)</f>
        <v>2</v>
      </c>
      <c r="D13" s="0" t="str">
        <f aca="false">IFERROR(__xludf.dummyfunction("""COMPUTED_VALUE"""),"AICI202002-4-1| Se realizará reparación y mantenimiento de las puertas evidenciadas en mal estado, así como el suministro de candados en las unidades que se requieran (17/02/2021 - 31/12/2021)")</f>
        <v>AICI202002-4-1| Se realizará reparación y mantenimiento de las puertas evidenciadas en mal estado, así como el suministro de candados en las unidades que se requieran (17/02/2021 - 31/12/2021)</v>
      </c>
      <c r="E13" s="0" t="str">
        <f aca="false">IFERROR(__xludf.dummyfunction("""COMPUTED_VALUE"""),"Se sigue  trabajando con el equipo de mantenimiento y se realizan los RUN de solicitud de arreglos, continua el seguimiento del estado de las cerraduras y chapas, la acción tiene fecha de finalización de diciembre")</f>
        <v>Se sigue  trabajando con el equipo de mantenimiento y se realizan los RUN de solicitud de arreglos, continua el seguimiento del estado de las cerraduras y chapas, la acción tiene fecha de finalización de diciembre</v>
      </c>
      <c r="F13" s="0" t="str">
        <f aca="false">IFERROR(__xludf.dummyfunction("""COMPUTED_VALUE"""),"En desarrollo")</f>
        <v>En desarrollo</v>
      </c>
      <c r="G13" s="20" t="str">
        <f aca="false">IFERROR(__xludf.dummyfunction("""COMPUTED_VALUE"""),"https://drive.google.com/open?id=1JipnSZV5bYxx7QjtmfiFfUiAR6DNZBHH")</f>
        <v>https://drive.google.com/open?id=1JipnSZV5bYxx7QjtmfiFfUiAR6DNZBHH</v>
      </c>
    </row>
    <row r="14" customFormat="false" ht="14.25" hidden="false" customHeight="false" outlineLevel="0" collapsed="false">
      <c r="A14" s="18" t="str">
        <f aca="false">IFERROR(MID(D14,1,FIND("|",D14)-1)&amp;"-"&amp;C14,"")</f>
        <v>AICI202002-5-1-2</v>
      </c>
      <c r="B14" s="19" t="n">
        <f aca="false">IFERROR(__xludf.dummyfunction("""COMPUTED_VALUE"""),44431)</f>
        <v>44431</v>
      </c>
      <c r="C14" s="0" t="n">
        <f aca="false">IFERROR(__xludf.dummyfunction("""COMPUTED_VALUE"""),2)</f>
        <v>2</v>
      </c>
      <c r="D14" s="0" t="str">
        <f aca="false">IFERROR(__xludf.dummyfunction("""COMPUTED_VALUE"""),"AICI202002-5-1| Se realizará revisión y cambio de los elementos deteriorados (17/02/2021 - 31/12/2021)")</f>
        <v>AICI202002-5-1| Se realizará revisión y cambio de los elementos deteriorados (17/02/2021 - 31/12/2021)</v>
      </c>
      <c r="E14" s="0" t="str">
        <f aca="false">IFERROR(__xludf.dummyfunction("""COMPUTED_VALUE"""),"La acción se encuentra completa desde el seguimiento anterior sin embargo siguen las acciones porque aun hay algunos elementos deteriorados ( Suba, Engativá) pero son casos específicos  pero en general están en buen estado")</f>
        <v>La acción se encuentra completa desde el seguimiento anterior sin embargo siguen las acciones porque aun hay algunos elementos deteriorados ( Suba, Engativá) pero son casos específicos  pero en general están en buen estado</v>
      </c>
      <c r="F14" s="0" t="str">
        <f aca="false">IFERROR(__xludf.dummyfunction("""COMPUTED_VALUE"""),"Completo")</f>
        <v>Completo</v>
      </c>
      <c r="G14" s="0" t="str">
        <f aca="false">IFERROR(__xludf.dummyfunction("""COMPUTED_VALUE"""),"https://drive.google.com/open?id=1ufknriLVag9GZXcDZwDfn0BOWeUUmf6a, https://drive.google.com/open?id=11Do89Bph0gh93m0uGXfEmnGXFv4dGLgg")</f>
        <v>https://drive.google.com/open?id=1ufknriLVag9GZXcDZwDfn0BOWeUUmf6a, https://drive.google.com/open?id=11Do89Bph0gh93m0uGXfEmnGXFv4dGLgg</v>
      </c>
    </row>
    <row r="15" customFormat="false" ht="14.25" hidden="false" customHeight="false" outlineLevel="0" collapsed="false">
      <c r="A15" s="18" t="str">
        <f aca="false">IFERROR(MID(D15,1,FIND("|",D15)-1)&amp;"-"&amp;C15,"")</f>
        <v>AICI202002-6-1-2</v>
      </c>
      <c r="B15" s="19" t="n">
        <f aca="false">IFERROR(__xludf.dummyfunction("""COMPUTED_VALUE"""),44431)</f>
        <v>44431</v>
      </c>
      <c r="C15" s="0" t="n">
        <f aca="false">IFERROR(__xludf.dummyfunction("""COMPUTED_VALUE"""),2)</f>
        <v>2</v>
      </c>
      <c r="D15" s="0" t="str">
        <f aca="false">IFERROR(__xludf.dummyfunction("""COMPUTED_VALUE"""),"AICI202002-6-1| Se realizará reparación y mantenimiento de los cuartos centrales de almacenamiento, de acuerdo al plan de mantenimiento establecido (17/02/2021 - 31/12/2021)")</f>
        <v>AICI202002-6-1| Se realizará reparación y mantenimiento de los cuartos centrales de almacenamiento, de acuerdo al plan de mantenimiento establecido (17/02/2021 - 31/12/2021)</v>
      </c>
      <c r="E15" s="0" t="str">
        <f aca="false">IFERROR(__xludf.dummyfunction("""COMPUTED_VALUE"""),"Existen avances en el mantenimiento de las unidades, sobre todo en techos y paredes,  se debe continuar trabajando con el área de mantenimiento, y las solicitudes de RUN  se pretende hacer un consolidado de las solicitudes mas antiguas para llevarlas a la"&amp;" reunión con infraestructura   ")</f>
        <v>Existen avances en el mantenimiento de las unidades, sobre todo en techos y paredes,  se debe continuar trabajando con el área de mantenimiento, y las solicitudes de RUN  se pretende hacer un consolidado de las solicitudes mas antiguas para llevarlas a la reunión con infraestructura   </v>
      </c>
      <c r="F15" s="0" t="str">
        <f aca="false">IFERROR(__xludf.dummyfunction("""COMPUTED_VALUE"""),"En desarrollo")</f>
        <v>En desarrollo</v>
      </c>
      <c r="G15" s="20" t="str">
        <f aca="false">IFERROR(__xludf.dummyfunction("""COMPUTED_VALUE"""),"https://drive.google.com/open?id=10kp3mtNgHF_V_5t9FmtCNRvy5FSz4ioB")</f>
        <v>https://drive.google.com/open?id=10kp3mtNgHF_V_5t9FmtCNRvy5FSz4ioB</v>
      </c>
    </row>
    <row r="16" customFormat="false" ht="14.25" hidden="false" customHeight="false" outlineLevel="0" collapsed="false">
      <c r="A16" s="18" t="str">
        <f aca="false">IFERROR(MID(D16,1,FIND("|",D16)-1)&amp;"-"&amp;C16,"")</f>
        <v>AICI202002-1-1-3</v>
      </c>
      <c r="B16" s="19" t="n">
        <f aca="false">IFERROR(__xludf.dummyfunction("""COMPUTED_VALUE"""),44516)</f>
        <v>44516</v>
      </c>
      <c r="C16" s="0" t="n">
        <f aca="false">IFERROR(__xludf.dummyfunction("""COMPUTED_VALUE"""),3)</f>
        <v>3</v>
      </c>
      <c r="D16" s="0" t="str">
        <f aca="false">IFERROR(__xludf.dummyfunction("""COMPUTED_VALUE"""),"AICI202002-1-1| Se realizara actualizacion del PGIRH incluyendo las rutas sanitarias de todos los centros (17/02/2021 - 30/09/2021)")</f>
        <v>AICI202002-1-1| Se realizara actualizacion del PGIRH incluyendo las rutas sanitarias de todos los centros (17/02/2021 - 30/09/2021)</v>
      </c>
      <c r="E16" s="0" t="str">
        <f aca="false">IFERROR(__xludf.dummyfunction("""COMPUTED_VALUE"""),"El documento del PGRH  se encuentra aun en actualización debido a que la informacion es dinamica y deben incorporar temas adicionales  se proyecta para 16 de diciembre.")</f>
        <v>El documento del PGRH  se encuentra aun en actualización debido a que la informacion es dinamica y deben incorporar temas adicionales  se proyecta para 16 de diciembre.</v>
      </c>
      <c r="F16" s="0" t="str">
        <f aca="false">IFERROR(__xludf.dummyfunction("""COMPUTED_VALUE"""),"Atrasado")</f>
        <v>Atrasado</v>
      </c>
      <c r="G16" s="0" t="str">
        <f aca="false">IFERROR(__xludf.dummyfunction("""COMPUTED_VALUE"""),"https://drive.google.com/open?id=1NYlo9A_ki4_SeYK60cJdR6_7kK0-yUpI, https://drive.google.com/open?id=1jQsC2sD_YVdyRrm1o1Y7ZfZ0yg_7rMND, https://drive.google.com/open?id=1l4x-Z9cKjl8h3y9FTd2ANJFdYbWrBJsi")</f>
        <v>https://drive.google.com/open?id=1NYlo9A_ki4_SeYK60cJdR6_7kK0-yUpI, https://drive.google.com/open?id=1jQsC2sD_YVdyRrm1o1Y7ZfZ0yg_7rMND, https://drive.google.com/open?id=1l4x-Z9cKjl8h3y9FTd2ANJFdYbWrBJsi</v>
      </c>
    </row>
    <row r="17" customFormat="false" ht="14.25" hidden="false" customHeight="false" outlineLevel="0" collapsed="false">
      <c r="A17" s="18" t="str">
        <f aca="false">IFERROR(MID(D17,1,FIND("|",D17)-1)&amp;"-"&amp;C17,"")</f>
        <v>AICI202002-2-1-3</v>
      </c>
      <c r="B17" s="19" t="n">
        <f aca="false">IFERROR(__xludf.dummyfunction("""COMPUTED_VALUE"""),44516)</f>
        <v>44516</v>
      </c>
      <c r="C17" s="0" t="n">
        <f aca="false">IFERROR(__xludf.dummyfunction("""COMPUTED_VALUE"""),3)</f>
        <v>3</v>
      </c>
      <c r="D17" s="0" t="str">
        <f aca="false">IFERROR(__xludf.dummyfunction("""COMPUTED_VALUE"""),"AICI202002-2-1| Capacitar al personal encargado de realizar la marcacion y la ruta sanitaria. (17/02/2021 - 31/03/2021)")</f>
        <v>AICI202002-2-1| Capacitar al personal encargado de realizar la marcacion y la ruta sanitaria. (17/02/2021 - 31/03/2021)</v>
      </c>
      <c r="E17" s="0" t="str">
        <f aca="false">IFERROR(__xludf.dummyfunction("""COMPUTED_VALUE"""),"Se continuan haciendo las capacitaciones y refuerzo de programa PGIRH en cada una de las unidades de la subred adjunta soportes de capacitaciones")</f>
        <v>Se continuan haciendo las capacitaciones y refuerzo de programa PGIRH en cada una de las unidades de la subred adjunta soportes de capacitaciones</v>
      </c>
      <c r="F17" s="0" t="str">
        <f aca="false">IFERROR(__xludf.dummyfunction("""COMPUTED_VALUE"""),"Completo")</f>
        <v>Completo</v>
      </c>
      <c r="G17" s="0" t="str">
        <f aca="false">IFERROR(__xludf.dummyfunction("""COMPUTED_VALUE"""),"https://drive.google.com/open?id=1r6p0DpLIhQUuND3Z9_EGMcnu_SFrSuRL, https://drive.google.com/open?id=1W93cxnjw2-Xx3UJrX_kCoW2LfIezb2ns, https://drive.google.com/open?id=1LdyGIHPKkgSDoo2puA5BjWgZw8CaiPmA, https://drive.google.com/open?id=1w0pMrMLpuglqK5gMC"&amp;"a4iMzNJFQ5E_MaP")</f>
        <v>https://drive.google.com/open?id=1r6p0DpLIhQUuND3Z9_EGMcnu_SFrSuRL, https://drive.google.com/open?id=1W93cxnjw2-Xx3UJrX_kCoW2LfIezb2ns, https://drive.google.com/open?id=1LdyGIHPKkgSDoo2puA5BjWgZw8CaiPmA, https://drive.google.com/open?id=1w0pMrMLpuglqK5gMCa4iMzNJFQ5E_MaP</v>
      </c>
    </row>
    <row r="18" customFormat="false" ht="14.25" hidden="false" customHeight="false" outlineLevel="0" collapsed="false">
      <c r="A18" s="18" t="str">
        <f aca="false">IFERROR(MID(D18,1,FIND("|",D18)-1)&amp;"-"&amp;C18,"")</f>
        <v>AICI202002-3-1-3</v>
      </c>
      <c r="B18" s="19" t="n">
        <f aca="false">IFERROR(__xludf.dummyfunction("""COMPUTED_VALUE"""),44516)</f>
        <v>44516</v>
      </c>
      <c r="C18" s="0" t="n">
        <f aca="false">IFERROR(__xludf.dummyfunction("""COMPUTED_VALUE"""),3)</f>
        <v>3</v>
      </c>
      <c r="D18" s="0" t="str">
        <f aca="false">IFERROR(__xludf.dummyfunction("""COMPUTED_VALUE"""),"AICI202002-3-1| Se realizara revision a los centrales e instalara la marcancion pendiente de acuerdo a lo requerido. (17/02/2021 - 31/03/2021)")</f>
        <v>AICI202002-3-1| Se realizara revision a los centrales e instalara la marcancion pendiente de acuerdo a lo requerido. (17/02/2021 - 31/03/2021)</v>
      </c>
      <c r="E18" s="0" t="str">
        <f aca="false">IFERROR(__xludf.dummyfunction("""COMPUTED_VALUE"""),"Se Evidencia la rotulación adecuada de los depósitos de residuos y la identificación de los mismos al interior de los depósitos Acción completada y se debe mantener seguimiento")</f>
        <v>Se Evidencia la rotulación adecuada de los depósitos de residuos y la identificación de los mismos al interior de los depósitos Acción completada y se debe mantener seguimiento</v>
      </c>
      <c r="F18" s="0" t="str">
        <f aca="false">IFERROR(__xludf.dummyfunction("""COMPUTED_VALUE"""),"Completo")</f>
        <v>Completo</v>
      </c>
      <c r="G18" s="0" t="str">
        <f aca="false">IFERROR(__xludf.dummyfunction("""COMPUTED_VALUE"""),"https://drive.google.com/open?id=1vd-V3aVAK8yzAENpiGGca0s22wcEX0YR, https://drive.google.com/open?id=1rwwabhKTvnquscS8kgsD9hqLYE-6q39_, https://drive.google.com/open?id=104jAQzhliB9t4r0Vva2SdtqenHgs-Z_b, https://drive.google.com/open?id=1iUBLgD-dJD0JoQUyk"&amp;"_MPFqrUQFRNj5Ag")</f>
        <v>https://drive.google.com/open?id=1vd-V3aVAK8yzAENpiGGca0s22wcEX0YR, https://drive.google.com/open?id=1rwwabhKTvnquscS8kgsD9hqLYE-6q39_, https://drive.google.com/open?id=104jAQzhliB9t4r0Vva2SdtqenHgs-Z_b, https://drive.google.com/open?id=1iUBLgD-dJD0JoQUyk_MPFqrUQFRNj5Ag</v>
      </c>
    </row>
    <row r="19" customFormat="false" ht="14.25" hidden="false" customHeight="false" outlineLevel="0" collapsed="false">
      <c r="A19" s="18" t="str">
        <f aca="false">IFERROR(MID(D19,1,FIND("|",D19)-1)&amp;"-"&amp;C19,"")</f>
        <v>AICI202002-4-1-3</v>
      </c>
      <c r="B19" s="19" t="n">
        <f aca="false">IFERROR(__xludf.dummyfunction("""COMPUTED_VALUE"""),44516)</f>
        <v>44516</v>
      </c>
      <c r="C19" s="0" t="n">
        <f aca="false">IFERROR(__xludf.dummyfunction("""COMPUTED_VALUE"""),3)</f>
        <v>3</v>
      </c>
      <c r="D19" s="0" t="str">
        <f aca="false">IFERROR(__xludf.dummyfunction("""COMPUTED_VALUE"""),"AICI202002-4-1| Se realizará reparación y mantenimiento de las puertas evidenciadas en mal estado, así como el suministro de candados en las unidades que se requieran (17/02/2021 - 31/12/2021)")</f>
        <v>AICI202002-4-1| Se realizará reparación y mantenimiento de las puertas evidenciadas en mal estado, así como el suministro de candados en las unidades que se requieran (17/02/2021 - 31/12/2021)</v>
      </c>
      <c r="E19" s="0" t="str">
        <f aca="false">IFERROR(__xludf.dummyfunction("""COMPUTED_VALUE"""),"El área de Gestión Ambiental ha realizado la solicitud de estos arreglos y mantenimientos a los depósitos y se han realizado algunos arreglos  sin embargo finalización de la  tarea depende del área de mantenimiento de infraestructura de la subred, se anex"&amp;"an los registros de las mesas de servicios solicitados por el área de gestión ambiental")</f>
        <v>El área de Gestión Ambiental ha realizado la solicitud de estos arreglos y mantenimientos a los depósitos y se han realizado algunos arreglos  sin embargo finalización de la  tarea depende del área de mantenimiento de infraestructura de la subred, se anexan los registros de las mesas de servicios solicitados por el área de gestión ambiental</v>
      </c>
      <c r="F19" s="0" t="str">
        <f aca="false">IFERROR(__xludf.dummyfunction("""COMPUTED_VALUE"""),"Completo")</f>
        <v>Completo</v>
      </c>
      <c r="G19" s="0" t="str">
        <f aca="false">IFERROR(__xludf.dummyfunction("""COMPUTED_VALUE"""),"https://drive.google.com/open?id=1Nh5Y0v5lk2MrmYOdfeRM2zwFF9E2qd4E, https://drive.google.com/open?id=1z0yCGpNkVR_FA-1RM2FA6TP3QFvRlSEM, https://drive.google.com/open?id=1BZmSGAar3n8brWmITgkOWaY3LHe5xtW8, https://drive.google.com/open?id=1B542TBcidvjRA4CP4"&amp;"g7F4b9Aor7S_lMJ, https://drive.google.com/open?id=13s75YIf7hTK3TjIQh-y1qWYgl9jwPOZ7")</f>
        <v>https://drive.google.com/open?id=1Nh5Y0v5lk2MrmYOdfeRM2zwFF9E2qd4E, https://drive.google.com/open?id=1z0yCGpNkVR_FA-1RM2FA6TP3QFvRlSEM, https://drive.google.com/open?id=1BZmSGAar3n8brWmITgkOWaY3LHe5xtW8, https://drive.google.com/open?id=1B542TBcidvjRA4CP4g7F4b9Aor7S_lMJ, https://drive.google.com/open?id=13s75YIf7hTK3TjIQh-y1qWYgl9jwPOZ7</v>
      </c>
    </row>
    <row r="20" customFormat="false" ht="14.25" hidden="false" customHeight="false" outlineLevel="0" collapsed="false">
      <c r="A20" s="18" t="str">
        <f aca="false">IFERROR(MID(D20,1,FIND("|",D20)-1)&amp;"-"&amp;C20,"")</f>
        <v>AICI202002-5-1-3</v>
      </c>
      <c r="B20" s="19" t="n">
        <f aca="false">IFERROR(__xludf.dummyfunction("""COMPUTED_VALUE"""),44516)</f>
        <v>44516</v>
      </c>
      <c r="C20" s="0" t="n">
        <f aca="false">IFERROR(__xludf.dummyfunction("""COMPUTED_VALUE"""),3)</f>
        <v>3</v>
      </c>
      <c r="D20" s="0" t="str">
        <f aca="false">IFERROR(__xludf.dummyfunction("""COMPUTED_VALUE"""),"AICI202002-5-1| Se realizará revisión y cambio de los elementos deteriorados (17/02/2021 - 31/12/2021)")</f>
        <v>AICI202002-5-1| Se realizará revisión y cambio de los elementos deteriorados (17/02/2021 - 31/12/2021)</v>
      </c>
      <c r="E20" s="0" t="str">
        <f aca="false">IFERROR(__xludf.dummyfunction("""COMPUTED_VALUE"""),"Acción esta completa desde el seguimiento anterior sin embargo las acciones de revisión de los elementos debe ser continua por si se presentan nuevos deterioros,  pero en general están en buen estado ")</f>
        <v>Acción esta completa desde el seguimiento anterior sin embargo las acciones de revisión de los elementos debe ser continua por si se presentan nuevos deterioros,  pero en general están en buen estado </v>
      </c>
      <c r="F20" s="0" t="str">
        <f aca="false">IFERROR(__xludf.dummyfunction("""COMPUTED_VALUE"""),"Completo")</f>
        <v>Completo</v>
      </c>
      <c r="G20" s="0" t="str">
        <f aca="false">IFERROR(__xludf.dummyfunction("""COMPUTED_VALUE"""),"https://drive.google.com/open?id=1TGWUBBJDTD3x1fsHnNZxY7SFYEYaL-ku, https://drive.google.com/open?id=1r2zG2ubob9Q9iPEQkIGt4LNU9kIz8xRF, https://drive.google.com/open?id=1gbkS0PZUE8A1iz48O0boP4Im_Zi88N8i, https://drive.google.com/open?id=13zGnYv45g6zER8qCY"&amp;"gp7N38Dv0GDzNgU")</f>
        <v>https://drive.google.com/open?id=1TGWUBBJDTD3x1fsHnNZxY7SFYEYaL-ku, https://drive.google.com/open?id=1r2zG2ubob9Q9iPEQkIGt4LNU9kIz8xRF, https://drive.google.com/open?id=1gbkS0PZUE8A1iz48O0boP4Im_Zi88N8i, https://drive.google.com/open?id=13zGnYv45g6zER8qCYgp7N38Dv0GDzNgU</v>
      </c>
    </row>
    <row r="21" customFormat="false" ht="14.25" hidden="false" customHeight="false" outlineLevel="0" collapsed="false">
      <c r="A21" s="18" t="str">
        <f aca="false">IFERROR(MID(D21,1,FIND("|",D21)-1)&amp;"-"&amp;C21,"")</f>
        <v>AICI202002-6-1-3</v>
      </c>
      <c r="B21" s="19" t="n">
        <f aca="false">IFERROR(__xludf.dummyfunction("""COMPUTED_VALUE"""),44516)</f>
        <v>44516</v>
      </c>
      <c r="C21" s="0" t="n">
        <f aca="false">IFERROR(__xludf.dummyfunction("""COMPUTED_VALUE"""),3)</f>
        <v>3</v>
      </c>
      <c r="D21" s="0" t="str">
        <f aca="false">IFERROR(__xludf.dummyfunction("""COMPUTED_VALUE"""),"AICI202002-6-1| Se realizará reparación y mantenimiento de los cuartos centrales de almacenamiento, de acuerdo al plan de mantenimiento establecido (17/02/2021 - 31/12/2021)")</f>
        <v>AICI202002-6-1| Se realizará reparación y mantenimiento de los cuartos centrales de almacenamiento, de acuerdo al plan de mantenimiento establecido (17/02/2021 - 31/12/2021)</v>
      </c>
      <c r="E21" s="0" t="str">
        <f aca="false">IFERROR(__xludf.dummyfunction("""COMPUTED_VALUE"""),"El área de Gestión Ambiental ha realizado la solicitud de estos arreglos y mantenimientos a los depósitos y se han realizado algunos arreglos Fray,   sin embargo finalización de la  tarea depende del área de mantenimiento de infraestructura de la subred, "&amp;"se anexan los registros de las mesas de servicios solicitados por el area de gestión ambiental ademas por el tema de concepto técnico sanitario.")</f>
        <v>El área de Gestión Ambiental ha realizado la solicitud de estos arreglos y mantenimientos a los depósitos y se han realizado algunos arreglos Fray,   sin embargo finalización de la  tarea depende del área de mantenimiento de infraestructura de la subred, se anexan los registros de las mesas de servicios solicitados por el area de gestión ambiental ademas por el tema de concepto técnico sanitario.</v>
      </c>
      <c r="F21" s="0" t="str">
        <f aca="false">IFERROR(__xludf.dummyfunction("""COMPUTED_VALUE"""),"Completo")</f>
        <v>Completo</v>
      </c>
      <c r="G21" s="0" t="str">
        <f aca="false">IFERROR(__xludf.dummyfunction("""COMPUTED_VALUE"""),"https://drive.google.com/open?id=1gpJbpI1IfiSSPB-Di4uzc3ErQMCxu59q, https://drive.google.com/open?id=1UVkymgkEe_epsz4ZGaVUof0nLMApHB_-, https://drive.google.com/open?id=1nVIUFxKb_PaybCASKQOPxJou8snOTs2j, https://drive.google.com/open?id=1-UQomnhWVmhxrKPy_"&amp;"LDYBSOZLQh_DJag, https://drive.google.com/open?id=13bmKQ9edLdSs1az7Ce3TrkVkQL70_HEZ")</f>
        <v>https://drive.google.com/open?id=1gpJbpI1IfiSSPB-Di4uzc3ErQMCxu59q, https://drive.google.com/open?id=1UVkymgkEe_epsz4ZGaVUof0nLMApHB_-, https://drive.google.com/open?id=1nVIUFxKb_PaybCASKQOPxJou8snOTs2j, https://drive.google.com/open?id=1-UQomnhWVmhxrKPy_LDYBSOZLQh_DJag, https://drive.google.com/open?id=13bmKQ9edLdSs1az7Ce3TrkVkQL70_HEZ</v>
      </c>
    </row>
    <row r="22" customFormat="false" ht="14.25" hidden="false" customHeight="false" outlineLevel="0" collapsed="false">
      <c r="A22" s="18" t="str">
        <f aca="false">IFERROR(MID(D22,1,FIND("|",D22)-1)&amp;"-"&amp;C22,"")</f>
        <v>AICI202002-1-1-4</v>
      </c>
      <c r="B22" s="19" t="n">
        <f aca="false">IFERROR(__xludf.dummyfunction("""COMPUTED_VALUE"""),44586)</f>
        <v>44586</v>
      </c>
      <c r="C22" s="0" t="n">
        <f aca="false">IFERROR(__xludf.dummyfunction("""COMPUTED_VALUE"""),4)</f>
        <v>4</v>
      </c>
      <c r="D22" s="0" t="str">
        <f aca="false">IFERROR(__xludf.dummyfunction("""COMPUTED_VALUE"""),"AICI202002-1-1| Se realizara actualizacion del PGIRH incluyendo las rutas sanitarias de todos los centros (17/02/2021 - 30/09/2021)")</f>
        <v>AICI202002-1-1| Se realizara actualizacion del PGIRH incluyendo las rutas sanitarias de todos los centros (17/02/2021 - 30/09/2021)</v>
      </c>
      <c r="E22" s="0" t="str">
        <f aca="false">IFERROR(__xludf.dummyfunction("""COMPUTED_VALUE"""),"El documento del PGRH se le realizaron las  actualizaciones requeridas y   ya fue revisado  por el líder del proceso.  Se tiene soporte del envío de la solicitud de  normalización al área de calidad  quedando pendiente actualización y publicación en la in"&amp;"tranet de la web de la entidad. ( no se puede cargar el documento final al aplicativo por su tamaño de 25 megas)")</f>
        <v>El documento del PGRH se le realizaron las  actualizaciones requeridas y   ya fue revisado  por el líder del proceso.  Se tiene soporte del envío de la solicitud de  normalización al área de calidad  quedando pendiente actualización y publicación en la intranet de la web de la entidad. ( no se puede cargar el documento final al aplicativo por su tamaño de 25 megas)</v>
      </c>
      <c r="F22" s="0" t="str">
        <f aca="false">IFERROR(__xludf.dummyfunction("""COMPUTED_VALUE"""),"Completo")</f>
        <v>Completo</v>
      </c>
      <c r="G22" s="0" t="str">
        <f aca="false">IFERROR(__xludf.dummyfunction("""COMPUTED_VALUE"""),"https://drive.google.com/open?id=14jg6Z9QvYS4M-3rqy9qpTqqzd5Hzkg-W, https://drive.google.com/open?id=1UKEQzyTFro9YQ7TlPAud1JgnsprIWBgi")</f>
        <v>https://drive.google.com/open?id=14jg6Z9QvYS4M-3rqy9qpTqqzd5Hzkg-W, https://drive.google.com/open?id=1UKEQzyTFro9YQ7TlPAud1JgnsprIWBgi</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hyperlinks>
    <hyperlink ref="G13" r:id="rId1" display="https://drive.google.com/open?id=1JipnSZV5bYxx7QjtmfiFfUiAR6DNZBHH"/>
    <hyperlink ref="G15" r:id="rId2" display="https://drive.google.com/open?id=10kp3mtNgHF_V_5t9FmtCNRvy5FSz4ioB"/>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sheetData>
    <row r="1" customFormat="false" ht="12.75" hidden="false" customHeight="false" outlineLevel="0" collapsed="false">
      <c r="A1" s="13" t="s">
        <v>1820</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AICI202003-2-1-1</v>
      </c>
      <c r="B4" s="19" t="n">
        <f aca="false">IFERROR(__xludf.dummyfunction("""COMPUTED_VALUE"""),44371)</f>
        <v>44371</v>
      </c>
      <c r="C4" s="0" t="n">
        <f aca="false">IFERROR(__xludf.dummyfunction("""COMPUTED_VALUE"""),1)</f>
        <v>1</v>
      </c>
      <c r="D4" s="0" t="str">
        <f aca="false">IFERROR(__xludf.dummyfunction("""COMPUTED_VALUE"""),"AICI202003-2-1| 2. Se encontraron debilidades en el diligenciamiento y analisis de los indicadores de oportunidad e inasistencia (28/01/2021 - 28/03/2021)")</f>
        <v>AICI202003-2-1| 2. Se encontraron debilidades en el diligenciamiento y analisis de los indicadores de oportunidad e inasistencia (28/01/2021 - 28/03/2021)</v>
      </c>
      <c r="E4" s="0" t="str">
        <f aca="false">IFERROR(__xludf.dummyfunction("""COMPUTED_VALUE"""),"Continúan las falencias en la ejecución de las fichas del indicador, en el rango, meta, atributo, % cumplimiento")</f>
        <v>Continúan las falencias en la ejecución de las fichas del indicador, en el rango, meta, atributo, % cumplimiento</v>
      </c>
      <c r="F4" s="0" t="str">
        <f aca="false">IFERROR(__xludf.dummyfunction("""COMPUTED_VALUE"""),"En desarrollo")</f>
        <v>En desarrollo</v>
      </c>
      <c r="G4" s="20" t="str">
        <f aca="false">IFERROR(__xludf.dummyfunction("""COMPUTED_VALUE"""),"https://drive.google.com/open?id=1hE12qdlBRxi12hBCZQf_37SUyOsYE1la")</f>
        <v>https://drive.google.com/open?id=1hE12qdlBRxi12hBCZQf_37SUyOsYE1la</v>
      </c>
    </row>
    <row r="5" customFormat="false" ht="14.25" hidden="false" customHeight="false" outlineLevel="0" collapsed="false">
      <c r="A5" s="18" t="str">
        <f aca="false">IFERROR(MID(D5,1,FIND("|",D5)-1)&amp;"-"&amp;C5,"")</f>
        <v>AICI202003-6-1-1</v>
      </c>
      <c r="B5" s="19" t="n">
        <f aca="false">IFERROR(__xludf.dummyfunction("""COMPUTED_VALUE"""),44371)</f>
        <v>44371</v>
      </c>
      <c r="C5" s="0" t="n">
        <f aca="false">IFERROR(__xludf.dummyfunction("""COMPUTED_VALUE"""),1)</f>
        <v>1</v>
      </c>
      <c r="D5" s="0" t="str">
        <f aca="false">IFERROR(__xludf.dummyfunction("""COMPUTED_VALUE"""),"AICI202003-6-1| 6. Se encontraron documentos desactualizados (28/01/2021 - 28/03/2021)")</f>
        <v>AICI202003-6-1| 6. Se encontraron documentos desactualizados (28/01/2021 - 28/03/2021)</v>
      </c>
      <c r="E5" s="0" t="str">
        <f aca="false">IFERROR(__xludf.dummyfunction("""COMPUTED_VALUE"""),"Se actualizó un documento, los demás se encuentran en proceso, la fecha límite era para el 28 de Marzo")</f>
        <v>Se actualizó un documento, los demás se encuentran en proceso, la fecha límite era para el 28 de Marzo</v>
      </c>
      <c r="F5" s="0" t="str">
        <f aca="false">IFERROR(__xludf.dummyfunction("""COMPUTED_VALUE"""),"Atrasado")</f>
        <v>Atrasado</v>
      </c>
      <c r="G5" s="20" t="str">
        <f aca="false">IFERROR(__xludf.dummyfunction("""COMPUTED_VALUE"""),"https://drive.google.com/open?id=1Xpfg8d2nqKXUz1A9Bp0yFfXHlS3jE65t")</f>
        <v>https://drive.google.com/open?id=1Xpfg8d2nqKXUz1A9Bp0yFfXHlS3jE65t</v>
      </c>
    </row>
    <row r="6" customFormat="false" ht="14.25" hidden="false" customHeight="false" outlineLevel="0" collapsed="false">
      <c r="A6" s="18" t="str">
        <f aca="false">IFERROR(MID(D6,1,FIND("|",D6)-1)&amp;"-"&amp;C6,"")</f>
        <v>AICI202003-8-1-1</v>
      </c>
      <c r="B6" s="19" t="n">
        <f aca="false">IFERROR(__xludf.dummyfunction("""COMPUTED_VALUE"""),44371)</f>
        <v>44371</v>
      </c>
      <c r="C6" s="0" t="n">
        <f aca="false">IFERROR(__xludf.dummyfunction("""COMPUTED_VALUE"""),1)</f>
        <v>1</v>
      </c>
      <c r="D6" s="0" t="str">
        <f aca="false">IFERROR(__xludf.dummyfunction("""COMPUTED_VALUE"""),"AICI202003-8-1| 8. No existe Historia Clinica digital en la Sede Fray Bartolome (28/01/2021 - 28/03/2021)")</f>
        <v>AICI202003-8-1| 8. No existe Historia Clinica digital en la Sede Fray Bartolome (28/01/2021 - 28/03/2021)</v>
      </c>
      <c r="E6" s="0" t="str">
        <f aca="false">IFERROR(__xludf.dummyfunction("""COMPUTED_VALUE"""),"Al momento ya se encuentra con digital Historia Clínica en la sede de la Fray y otras sedes")</f>
        <v>Al momento ya se encuentra con digital Historia Clínica en la sede de la Fray y otras sedes</v>
      </c>
      <c r="F6" s="0" t="str">
        <f aca="false">IFERROR(__xludf.dummyfunction("""COMPUTED_VALUE"""),"Completo")</f>
        <v>Completo</v>
      </c>
      <c r="G6" s="20" t="str">
        <f aca="false">IFERROR(__xludf.dummyfunction("""COMPUTED_VALUE"""),"https://drive.google.com/open?id=1o0lueIl7MBqfoXoTVs4mV0-vk7YVdsIn")</f>
        <v>https://drive.google.com/open?id=1o0lueIl7MBqfoXoTVs4mV0-vk7YVdsIn</v>
      </c>
    </row>
    <row r="7" customFormat="false" ht="14.25" hidden="false" customHeight="false" outlineLevel="0" collapsed="false">
      <c r="A7" s="18" t="str">
        <f aca="false">IFERROR(MID(D7,1,FIND("|",D7)-1)&amp;"-"&amp;C7,"")</f>
        <v>AICI202003-7-1-1</v>
      </c>
      <c r="B7" s="19" t="n">
        <f aca="false">IFERROR(__xludf.dummyfunction("""COMPUTED_VALUE"""),44371)</f>
        <v>44371</v>
      </c>
      <c r="C7" s="0" t="n">
        <f aca="false">IFERROR(__xludf.dummyfunction("""COMPUTED_VALUE"""),1)</f>
        <v>1</v>
      </c>
      <c r="D7" s="0" t="str">
        <f aca="false">IFERROR(__xludf.dummyfunction("""COMPUTED_VALUE"""),"AICI202003-7-1| 7. No se evidencio articulacion de las RIAS en el programa de Rehabilitacion Cardiaca (28/01/2021 - 28/03/2021)")</f>
        <v>AICI202003-7-1| 7. No se evidencio articulacion de las RIAS en el programa de Rehabilitacion Cardiaca (28/01/2021 - 28/03/2021)</v>
      </c>
      <c r="E7" s="0" t="str">
        <f aca="false">IFERROR(__xludf.dummyfunction("""COMPUTED_VALUE"""),"Se anexan actas de socialización del programa de Rehabiliación cardiaca")</f>
        <v>Se anexan actas de socialización del programa de Rehabiliación cardiaca</v>
      </c>
      <c r="F7" s="0" t="str">
        <f aca="false">IFERROR(__xludf.dummyfunction("""COMPUTED_VALUE"""),"Completo")</f>
        <v>Completo</v>
      </c>
      <c r="G7" s="0" t="str">
        <f aca="false">IFERROR(__xludf.dummyfunction("""COMPUTED_VALUE"""),"https://drive.google.com/open?id=1zNc1WH1RU6AjLcyN1rGh8BjI6WfvgFa2, https://drive.google.com/open?id=1c321frrgEwFf3skpF5UXgGl5KPCFIwDb, https://drive.google.com/open?id=1sbKCecqY_g6laowjbmLJ1-raSfLnOlTD")</f>
        <v>https://drive.google.com/open?id=1zNc1WH1RU6AjLcyN1rGh8BjI6WfvgFa2, https://drive.google.com/open?id=1c321frrgEwFf3skpF5UXgGl5KPCFIwDb, https://drive.google.com/open?id=1sbKCecqY_g6laowjbmLJ1-raSfLnOlTD</v>
      </c>
    </row>
    <row r="8" customFormat="false" ht="14.25" hidden="false" customHeight="false" outlineLevel="0" collapsed="false">
      <c r="A8" s="18" t="str">
        <f aca="false">IFERROR(MID(D8,1,FIND("|",D8)-1)&amp;"-"&amp;C8,"")</f>
        <v>AICI202003-5-1-1</v>
      </c>
      <c r="B8" s="19" t="n">
        <f aca="false">IFERROR(__xludf.dummyfunction("""COMPUTED_VALUE"""),44371)</f>
        <v>44371</v>
      </c>
      <c r="C8" s="0" t="n">
        <f aca="false">IFERROR(__xludf.dummyfunction("""COMPUTED_VALUE"""),1)</f>
        <v>1</v>
      </c>
      <c r="D8" s="0" t="str">
        <f aca="false">IFERROR(__xludf.dummyfunction("""COMPUTED_VALUE"""),"AICI202003-5-1| 5. Se encontraron fallas en medidas de bioseguridad relacionadas con la limpieza de camillas y material utilizado en las terapias (28/01/2021 - 28/03/2021)")</f>
        <v>AICI202003-5-1| 5. Se encontraron fallas en medidas de bioseguridad relacionadas con la limpieza de camillas y material utilizado en las terapias (28/01/2021 - 28/03/2021)</v>
      </c>
      <c r="E8" s="0" t="str">
        <f aca="false">IFERROR(__xludf.dummyfunction("""COMPUTED_VALUE"""),"Se aumentó el número de auxiliares para la limpieza de camillas y material utilizado durante la consulta en las sedes de Fray Bartolomé, Suba y Boyacá Real")</f>
        <v>Se aumentó el número de auxiliares para la limpieza de camillas y material utilizado durante la consulta en las sedes de Fray Bartolomé, Suba y Boyacá Real</v>
      </c>
      <c r="F8" s="0" t="str">
        <f aca="false">IFERROR(__xludf.dummyfunction("""COMPUTED_VALUE"""),"Completo")</f>
        <v>Completo</v>
      </c>
      <c r="G8" s="20" t="str">
        <f aca="false">IFERROR(__xludf.dummyfunction("""COMPUTED_VALUE"""),"https://drive.google.com/open?id=1ycy7dDuK-CQBBH0Ya-6WY2LZiFSV5HI2")</f>
        <v>https://drive.google.com/open?id=1ycy7dDuK-CQBBH0Ya-6WY2LZiFSV5HI2</v>
      </c>
    </row>
    <row r="9" customFormat="false" ht="14.25" hidden="false" customHeight="false" outlineLevel="0" collapsed="false">
      <c r="A9" s="18" t="str">
        <f aca="false">IFERROR(MID(D9,1,FIND("|",D9)-1)&amp;"-"&amp;C9,"")</f>
        <v>AICI202003-1-1-1</v>
      </c>
      <c r="B9" s="19" t="n">
        <f aca="false">IFERROR(__xludf.dummyfunction("""COMPUTED_VALUE"""),44375)</f>
        <v>44375</v>
      </c>
      <c r="C9" s="0" t="n">
        <f aca="false">IFERROR(__xludf.dummyfunction("""COMPUTED_VALUE"""),1)</f>
        <v>1</v>
      </c>
      <c r="D9" s="0" t="str">
        <f aca="false">IFERROR(__xludf.dummyfunction("""COMPUTED_VALUE"""),"AICI202003-1-1| 1. Los indicadores de riesgo propuestos no miden ni controlan el riesgo del servicio de Rehabilitacion y no tienen relacion con el objetivo estrategico institucional (28/01/2021 - 28/03/2021)")</f>
        <v>AICI202003-1-1| 1. Los indicadores de riesgo propuestos no miden ni controlan el riesgo del servicio de Rehabilitacion y no tienen relacion con el objetivo estrategico institucional (28/01/2021 - 28/03/2021)</v>
      </c>
      <c r="E9" s="0" t="str">
        <f aca="false">IFERROR(__xludf.dummyfunction("""COMPUTED_VALUE"""),"Se aumentó personal auxiliar y profesional en las sedes faltantes y se redistribuyó el personal, se anexa agenda del mes de junio")</f>
        <v>Se aumentó personal auxiliar y profesional en las sedes faltantes y se redistribuyó el personal, se anexa agenda del mes de junio</v>
      </c>
      <c r="F9" s="0" t="str">
        <f aca="false">IFERROR(__xludf.dummyfunction("""COMPUTED_VALUE"""),"Completo")</f>
        <v>Completo</v>
      </c>
      <c r="G9" s="20" t="str">
        <f aca="false">IFERROR(__xludf.dummyfunction("""COMPUTED_VALUE"""),"https://drive.google.com/open?id=1kuF-3S5N6D_DLAplRapbJ7Nw3Ml9_pNj")</f>
        <v>https://drive.google.com/open?id=1kuF-3S5N6D_DLAplRapbJ7Nw3Ml9_pNj</v>
      </c>
    </row>
    <row r="10" customFormat="false" ht="14.25" hidden="false" customHeight="false" outlineLevel="0" collapsed="false">
      <c r="A10" s="18" t="str">
        <f aca="false">IFERROR(MID(D10,1,FIND("|",D10)-1)&amp;"-"&amp;C10,"")</f>
        <v>AICI202003-4-1-1</v>
      </c>
      <c r="B10" s="19" t="n">
        <f aca="false">IFERROR(__xludf.dummyfunction("""COMPUTED_VALUE"""),44375)</f>
        <v>44375</v>
      </c>
      <c r="C10" s="0" t="n">
        <f aca="false">IFERROR(__xludf.dummyfunction("""COMPUTED_VALUE"""),1)</f>
        <v>1</v>
      </c>
      <c r="D10" s="0" t="str">
        <f aca="false">IFERROR(__xludf.dummyfunction("""COMPUTED_VALUE"""),"AICI202003-4-1| 4. Se encontro falta de mantenimiento en equipos biomedicos y desconocimiento del cronograma (28/01/2021 - 28/03/2021)")</f>
        <v>AICI202003-4-1| 4. Se encontro falta de mantenimiento en equipos biomedicos y desconocimiento del cronograma (28/01/2021 - 28/03/2021)</v>
      </c>
      <c r="E10" s="0" t="str">
        <f aca="false">IFERROR(__xludf.dummyfunction("""COMPUTED_VALUE"""),"Se realizó socialización del cronograma de mantenimiento, se anexan actas")</f>
        <v>Se realizó socialización del cronograma de mantenimiento, se anexan actas</v>
      </c>
      <c r="F10" s="0" t="str">
        <f aca="false">IFERROR(__xludf.dummyfunction("""COMPUTED_VALUE"""),"Completo")</f>
        <v>Completo</v>
      </c>
      <c r="G10" s="0" t="str">
        <f aca="false">IFERROR(__xludf.dummyfunction("""COMPUTED_VALUE"""),"https://drive.google.com/open?id=1G7oCkPBYstxUvjswSgUyjYQ_G860DDeq, https://drive.google.com/open?id=1-y3zjf4E3DsV3iLrwZ7Rd5JPVHV47GWE")</f>
        <v>https://drive.google.com/open?id=1G7oCkPBYstxUvjswSgUyjYQ_G860DDeq, https://drive.google.com/open?id=1-y3zjf4E3DsV3iLrwZ7Rd5JPVHV47GWE</v>
      </c>
    </row>
    <row r="11" customFormat="false" ht="14.25" hidden="false" customHeight="false" outlineLevel="0" collapsed="false">
      <c r="A11" s="18" t="str">
        <f aca="false">IFERROR(MID(D11,1,FIND("|",D11)-1)&amp;"-"&amp;C11,"")</f>
        <v>AICI202003-3-1-1</v>
      </c>
      <c r="B11" s="19" t="n">
        <f aca="false">IFERROR(__xludf.dummyfunction("""COMPUTED_VALUE"""),44375)</f>
        <v>44375</v>
      </c>
      <c r="C11" s="0" t="n">
        <f aca="false">IFERROR(__xludf.dummyfunction("""COMPUTED_VALUE"""),1)</f>
        <v>1</v>
      </c>
      <c r="D11" s="0" t="str">
        <f aca="false">IFERROR(__xludf.dummyfunction("""COMPUTED_VALUE"""),"AICI202003-3-1| 3. Se realizan actividades de Terapias en sitios no habilitados (28/01/2021 - 28/03/2021)")</f>
        <v>AICI202003-3-1| 3. Se realizan actividades de Terapias en sitios no habilitados (28/01/2021 - 28/03/2021)</v>
      </c>
      <c r="E11" s="0" t="str">
        <f aca="false">IFERROR(__xludf.dummyfunction("""COMPUTED_VALUE"""),"Se habilitaron los sitios para terapias ,pendiente terapia ocupacional en CES")</f>
        <v>Se habilitaron los sitios para terapias ,pendiente terapia ocupacional en CES</v>
      </c>
      <c r="F11" s="0" t="str">
        <f aca="false">IFERROR(__xludf.dummyfunction("""COMPUTED_VALUE"""),"En desarrollo")</f>
        <v>En desarrollo</v>
      </c>
      <c r="G11" s="20" t="str">
        <f aca="false">IFERROR(__xludf.dummyfunction("""COMPUTED_VALUE"""),"https://drive.google.com/open?id=1so7o-50R28I3zdVPDXRAuwWM57xvlSMA")</f>
        <v>https://drive.google.com/open?id=1so7o-50R28I3zdVPDXRAuwWM57xvlSMA</v>
      </c>
    </row>
    <row r="12" customFormat="false" ht="14.25" hidden="false" customHeight="false" outlineLevel="0" collapsed="false">
      <c r="A12" s="18" t="str">
        <f aca="false">IFERROR(MID(D12,1,FIND("|",D12)-1)&amp;"-"&amp;C12,"")</f>
        <v>AICI202003-6-1-2</v>
      </c>
      <c r="B12" s="19" t="n">
        <f aca="false">IFERROR(__xludf.dummyfunction("""COMPUTED_VALUE"""),44481)</f>
        <v>44481</v>
      </c>
      <c r="C12" s="0" t="n">
        <f aca="false">IFERROR(__xludf.dummyfunction("""COMPUTED_VALUE"""),2)</f>
        <v>2</v>
      </c>
      <c r="D12" s="0" t="str">
        <f aca="false">IFERROR(__xludf.dummyfunction("""COMPUTED_VALUE"""),"AICI202003-6-1| 6. Se encontraron documentos desactualizados (28/01/2021 - 28/03/2021)")</f>
        <v>AICI202003-6-1| 6. Se encontraron documentos desactualizados (28/01/2021 - 28/03/2021)</v>
      </c>
      <c r="E12" s="0" t="str">
        <f aca="false">IFERROR(__xludf.dummyfunction("""COMPUTED_VALUE"""),"Se evidencia actualización de varios documentos, todos pertenecientes a Rehabilitación Cardiaca, no obstante los documentos descritos en el informe final en documentación no se han actualizado")</f>
        <v>Se evidencia actualización de varios documentos, todos pertenecientes a Rehabilitación Cardiaca, no obstante los documentos descritos en el informe final en documentación no se han actualizado</v>
      </c>
      <c r="F12" s="0" t="str">
        <f aca="false">IFERROR(__xludf.dummyfunction("""COMPUTED_VALUE"""),"En desarrollo")</f>
        <v>En desarrollo</v>
      </c>
      <c r="G12" s="20" t="str">
        <f aca="false">IFERROR(__xludf.dummyfunction("""COMPUTED_VALUE"""),"https://drive.google.com/open?id=1yzO1c322etid8L8j3KispbOqhNPNk9mv")</f>
        <v>https://drive.google.com/open?id=1yzO1c322etid8L8j3KispbOqhNPNk9mv</v>
      </c>
    </row>
    <row r="13" customFormat="false" ht="14.25" hidden="false" customHeight="false" outlineLevel="0" collapsed="false">
      <c r="A13" s="18" t="str">
        <f aca="false">IFERROR(MID(D13,1,FIND("|",D13)-1)&amp;"-"&amp;C13,"")</f>
        <v>AICI202003-2-1-2</v>
      </c>
      <c r="B13" s="19" t="n">
        <f aca="false">IFERROR(__xludf.dummyfunction("""COMPUTED_VALUE"""),44481)</f>
        <v>44481</v>
      </c>
      <c r="C13" s="0" t="n">
        <f aca="false">IFERROR(__xludf.dummyfunction("""COMPUTED_VALUE"""),2)</f>
        <v>2</v>
      </c>
      <c r="D13" s="0" t="str">
        <f aca="false">IFERROR(__xludf.dummyfunction("""COMPUTED_VALUE"""),"AICI202003-2-1| 2. Se encontraron debilidades en el diligenciamiento y analisis de los indicadores de oportunidad e inasistencia (28/01/2021 - 28/03/2021)")</f>
        <v>AICI202003-2-1| 2. Se encontraron debilidades en el diligenciamiento y analisis de los indicadores de oportunidad e inasistencia (28/01/2021 - 28/03/2021)</v>
      </c>
      <c r="E13" s="0" t="str">
        <f aca="false">IFERROR(__xludf.dummyfunction("""COMPUTED_VALUE"""),"Se observan fichas de indicadores de inasistencia y oportunidad, hasta el mes de agosto, las cuales se encuentran bien diligenciadas y analizadas")</f>
        <v>Se observan fichas de indicadores de inasistencia y oportunidad, hasta el mes de agosto, las cuales se encuentran bien diligenciadas y analizadas</v>
      </c>
      <c r="F13" s="0" t="str">
        <f aca="false">IFERROR(__xludf.dummyfunction("""COMPUTED_VALUE"""),"Completo")</f>
        <v>Completo</v>
      </c>
      <c r="G13" s="0" t="str">
        <f aca="false">IFERROR(__xludf.dummyfunction("""COMPUTED_VALUE"""),"https://drive.google.com/open?id=1ZqdsowAHHXTotDTUWUWyxGVhiapzleI7, https://drive.google.com/open?id=1Wu78VkWUcRG8MDgNbUtPuy2yNnFMRgiY")</f>
        <v>https://drive.google.com/open?id=1ZqdsowAHHXTotDTUWUWyxGVhiapzleI7, https://drive.google.com/open?id=1Wu78VkWUcRG8MDgNbUtPuy2yNnFMRgiY</v>
      </c>
    </row>
    <row r="14" customFormat="false" ht="14.25" hidden="false" customHeight="false" outlineLevel="0" collapsed="false">
      <c r="A14" s="18" t="str">
        <f aca="false">IFERROR(MID(D14,1,FIND("|",D14)-1)&amp;"-"&amp;C14,"")</f>
        <v>AICI202003-3-1-2</v>
      </c>
      <c r="B14" s="19" t="n">
        <f aca="false">IFERROR(__xludf.dummyfunction("""COMPUTED_VALUE"""),44481)</f>
        <v>44481</v>
      </c>
      <c r="C14" s="0" t="n">
        <f aca="false">IFERROR(__xludf.dummyfunction("""COMPUTED_VALUE"""),2)</f>
        <v>2</v>
      </c>
      <c r="D14" s="0" t="str">
        <f aca="false">IFERROR(__xludf.dummyfunction("""COMPUTED_VALUE"""),"AICI202003-3-1| 3. Se realizan actividades de Terapias en sitios no habilitados (28/01/2021 - 28/03/2021)")</f>
        <v>AICI202003-3-1| 3. Se realizan actividades de Terapias en sitios no habilitados (28/01/2021 - 28/03/2021)</v>
      </c>
      <c r="E14" s="0" t="str">
        <f aca="false">IFERROR(__xludf.dummyfunction("""COMPUTED_VALUE"""),"Todavía no hay evidencia del certificado de Habilitación del CES de Terapia Ocupacional")</f>
        <v>Todavía no hay evidencia del certificado de Habilitación del CES de Terapia Ocupacional</v>
      </c>
      <c r="F14" s="0" t="str">
        <f aca="false">IFERROR(__xludf.dummyfunction("""COMPUTED_VALUE"""),"Atrasado")</f>
        <v>Atrasado</v>
      </c>
    </row>
    <row r="15" customFormat="false" ht="14.25" hidden="false" customHeight="false" outlineLevel="0" collapsed="false">
      <c r="A15" s="18" t="str">
        <f aca="false">IFERROR(MID(D15,1,FIND("|",D15)-1)&amp;"-"&amp;C15,"")</f>
        <v>AICI202003-6-1-3</v>
      </c>
      <c r="B15" s="19" t="n">
        <f aca="false">IFERROR(__xludf.dummyfunction("""COMPUTED_VALUE"""),44495)</f>
        <v>44495</v>
      </c>
      <c r="C15" s="0" t="n">
        <f aca="false">IFERROR(__xludf.dummyfunction("""COMPUTED_VALUE"""),3)</f>
        <v>3</v>
      </c>
      <c r="D15" s="0" t="str">
        <f aca="false">IFERROR(__xludf.dummyfunction("""COMPUTED_VALUE"""),"AICI202003-6-1| 6. Se encontraron documentos desactualizados (28/01/2021 - 28/03/2021)")</f>
        <v>AICI202003-6-1| 6. Se encontraron documentos desactualizados (28/01/2021 - 28/03/2021)</v>
      </c>
      <c r="E15" s="0" t="str">
        <f aca="false">IFERROR(__xludf.dummyfunction("""COMPUTED_VALUE"""),"Se actualizan documentos solicitados en la auditoría")</f>
        <v>Se actualizan documentos solicitados en la auditoría</v>
      </c>
      <c r="F15" s="0" t="str">
        <f aca="false">IFERROR(__xludf.dummyfunction("""COMPUTED_VALUE"""),"Completo")</f>
        <v>Completo</v>
      </c>
      <c r="G15" s="0" t="str">
        <f aca="false">IFERROR(__xludf.dummyfunction("""COMPUTED_VALUE"""),"https://drive.google.com/open?id=14Znou7T9zsbuHv33gOI_TIWy-wWy_jFB, https://drive.google.com/open?id=1JEn-38k52sVmYUTCCuobb1baX23bNsMx, https://drive.google.com/open?id=1XK4Kvbpe2FOWHpdVaFPeAEzu__8N1tdu")</f>
        <v>https://drive.google.com/open?id=14Znou7T9zsbuHv33gOI_TIWy-wWy_jFB, https://drive.google.com/open?id=1JEn-38k52sVmYUTCCuobb1baX23bNsMx, https://drive.google.com/open?id=1XK4Kvbpe2FOWHpdVaFPeAEzu__8N1tdu</v>
      </c>
    </row>
    <row r="16" customFormat="false" ht="14.25" hidden="false" customHeight="false" outlineLevel="0" collapsed="false">
      <c r="A16" s="18" t="str">
        <f aca="false">IFERROR(MID(D16,1,FIND("|",D16)-1)&amp;"-"&amp;C16,"")</f>
        <v>AICI202003-3-1-3</v>
      </c>
      <c r="B16" s="19" t="n">
        <f aca="false">IFERROR(__xludf.dummyfunction("""COMPUTED_VALUE"""),44588)</f>
        <v>44588</v>
      </c>
      <c r="C16" s="0" t="n">
        <f aca="false">IFERROR(__xludf.dummyfunction("""COMPUTED_VALUE"""),3)</f>
        <v>3</v>
      </c>
      <c r="D16" s="0" t="str">
        <f aca="false">IFERROR(__xludf.dummyfunction("""COMPUTED_VALUE"""),"AICI202003-3-1| 3. Se realizan actividades de Terapias en sitios no habilitados (28/01/2021 - 28/03/2021)")</f>
        <v>AICI202003-3-1| 3. Se realizan actividades de Terapias en sitios no habilitados (28/01/2021 - 28/03/2021)</v>
      </c>
      <c r="E16" s="0" t="str">
        <f aca="false">IFERROR(__xludf.dummyfunction("""COMPUTED_VALUE"""),"Se anexa formulario entregado por Habilitación, de novedades de habilitación con número de distintivo DHSS0342499 para el servicio de terapia ocupacional en EL CENTRO DE SERVICIOS ESPECIALIZADOS")</f>
        <v>Se anexa formulario entregado por Habilitación, de novedades de habilitación con número de distintivo DHSS0342499 para el servicio de terapia ocupacional en EL CENTRO DE SERVICIOS ESPECIALIZADOS</v>
      </c>
      <c r="F16" s="0" t="str">
        <f aca="false">IFERROR(__xludf.dummyfunction("""COMPUTED_VALUE"""),"Completo")</f>
        <v>Completo</v>
      </c>
      <c r="G16" s="0" t="str">
        <f aca="false">IFERROR(__xludf.dummyfunction("""COMPUTED_VALUE"""),"https://drive.google.com/open?id=1A4gpo7PUVqFEoMf2peNYigU2jcOMWI9p, https://drive.google.com/open?id=1WtHv36tw_iiUqzN0O0BBzSxCRF7Ay-W-")</f>
        <v>https://drive.google.com/open?id=1A4gpo7PUVqFEoMf2peNYigU2jcOMWI9p, https://drive.google.com/open?id=1WtHv36tw_iiUqzN0O0BBzSxCRF7Ay-W-</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hyperlinks>
    <hyperlink ref="G4" r:id="rId1" display="https://drive.google.com/open?id=1hE12qdlBRxi12hBCZQf_37SUyOsYE1la"/>
    <hyperlink ref="G5" r:id="rId2" display="https://drive.google.com/open?id=1Xpfg8d2nqKXUz1A9Bp0yFfXHlS3jE65t"/>
    <hyperlink ref="G6" r:id="rId3" display="https://drive.google.com/open?id=1o0lueIl7MBqfoXoTVs4mV0-vk7YVdsIn"/>
    <hyperlink ref="G8" r:id="rId4" display="https://drive.google.com/open?id=1ycy7dDuK-CQBBH0Ya-6WY2LZiFSV5HI2"/>
    <hyperlink ref="G9" r:id="rId5" display="https://drive.google.com/open?id=1kuF-3S5N6D_DLAplRapbJ7Nw3Ml9_pNj"/>
    <hyperlink ref="G11" r:id="rId6" display="https://drive.google.com/open?id=1so7o-50R28I3zdVPDXRAuwWM57xvlSMA"/>
    <hyperlink ref="G12" r:id="rId7" display="https://drive.google.com/open?id=1yzO1c322etid8L8j3KispbOqhNPNk9mv"/>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sheetData>
    <row r="1" customFormat="false" ht="12.75" hidden="false" customHeight="false" outlineLevel="0" collapsed="false">
      <c r="A1" s="13" t="s">
        <v>1821</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AICI202004-1-1-1</v>
      </c>
      <c r="B4" s="19" t="n">
        <f aca="false">IFERROR(__xludf.dummyfunction("""COMPUTED_VALUE"""),44350)</f>
        <v>44350</v>
      </c>
      <c r="C4" s="0" t="n">
        <f aca="false">IFERROR(__xludf.dummyfunction("""COMPUTED_VALUE"""),1)</f>
        <v>1</v>
      </c>
      <c r="D4" s="0" t="str">
        <f aca="false">IFERROR(__xludf.dummyfunction("""COMPUTED_VALUE"""),"AICI202004-1-1| Se solicitará a responsabilidad social la modificación del instructivo ES-GC-I-30-01, donde quede claro en que casos será de obligatorio diligenciamiento el formato descrito. (01/10/2020 - 30/11/2020)")</f>
        <v>AICI202004-1-1| Se solicitará a responsabilidad social la modificación del instructivo ES-GC-I-30-01, donde quede claro en que casos será de obligatorio diligenciamiento el formato descrito. (01/10/2020 - 30/11/2020)</v>
      </c>
      <c r="E4" s="0" t="str">
        <f aca="false">IFERROR(__xludf.dummyfunction("""COMPUTED_VALUE"""),"Se realizo la solicitud a través de correo electrónico el día 02 de junio de la modificación del instructivo ES-GC-I-30-01 al área de responsabilidad social quienes con el apoyo de normalización realizaran el ajuste respectivo. Estamos atentos a los avanc"&amp;"es de la acción")</f>
        <v>Se realizo la solicitud a través de correo electrónico el día 02 de junio de la modificación del instructivo ES-GC-I-30-01 al área de responsabilidad social quienes con el apoyo de normalización realizaran el ajuste respectivo. Estamos atentos a los avances de la acción</v>
      </c>
      <c r="F4" s="0" t="str">
        <f aca="false">IFERROR(__xludf.dummyfunction("""COMPUTED_VALUE"""),"Atrasado")</f>
        <v>Atrasado</v>
      </c>
    </row>
    <row r="5" customFormat="false" ht="14.25" hidden="false" customHeight="false" outlineLevel="0" collapsed="false">
      <c r="A5" s="18" t="str">
        <f aca="false">IFERROR(MID(D5,1,FIND("|",D5)-1)&amp;"-"&amp;C5,"")</f>
        <v>AICI202004-2-1-1</v>
      </c>
      <c r="B5" s="19" t="n">
        <f aca="false">IFERROR(__xludf.dummyfunction("""COMPUTED_VALUE"""),44350)</f>
        <v>44350</v>
      </c>
      <c r="C5" s="0" t="n">
        <f aca="false">IFERROR(__xludf.dummyfunction("""COMPUTED_VALUE"""),1)</f>
        <v>1</v>
      </c>
      <c r="D5" s="0" t="str">
        <f aca="false">IFERROR(__xludf.dummyfunction("""COMPUTED_VALUE"""),"AICI202004-2-1| Actualmente se encuentra en desarrollo una herramienta BI, donde se permitirá la gestión de los Saldos distriubuidos en los servicios. Inidicadores, rotaciones y promedios móviles de consumo. (01/10/2020 - 31/12/2020)")</f>
        <v>AICI202004-2-1| Actualmente se encuentra en desarrollo una herramienta BI, donde se permitirá la gestión de los Saldos distriubuidos en los servicios. Inidicadores, rotaciones y promedios móviles de consumo. (01/10/2020 - 31/12/2020)</v>
      </c>
      <c r="E5" s="0" t="str">
        <f aca="false">IFERROR(__xludf.dummyfunction("""COMPUTED_VALUE"""),"El área de sistemas realizó la actualización del licenciamiento del Power BI, dado que se venia utilizando el sistema sin licenciamiento.
Se pudo verificar que a través de dicho software se lleva el control de control general de los insumos como son: dist"&amp;"ribución de saldos, indicadores, rotaciones y promedios de consumo entre otros.")</f>
        <v>El área de sistemas realizó la actualización del licenciamiento del Power BI, dado que se venia utilizando el sistema sin licenciamiento.
Se pudo verificar que a través de dicho software se lleva el control de control general de los insumos como son: distribución de saldos, indicadores, rotaciones y promedios de consumo entre otros.</v>
      </c>
      <c r="F5" s="0" t="str">
        <f aca="false">IFERROR(__xludf.dummyfunction("""COMPUTED_VALUE"""),"Completo")</f>
        <v>Completo</v>
      </c>
    </row>
    <row r="6" customFormat="false" ht="14.25" hidden="false" customHeight="false" outlineLevel="0" collapsed="false">
      <c r="A6" s="18" t="str">
        <f aca="false">IFERROR(MID(D6,1,FIND("|",D6)-1)&amp;"-"&amp;C6,"")</f>
        <v>AICI202004-3-1-1</v>
      </c>
      <c r="B6" s="19" t="n">
        <f aca="false">IFERROR(__xludf.dummyfunction("""COMPUTED_VALUE"""),44350)</f>
        <v>44350</v>
      </c>
      <c r="C6" s="0" t="n">
        <f aca="false">IFERROR(__xludf.dummyfunction("""COMPUTED_VALUE"""),1)</f>
        <v>1</v>
      </c>
      <c r="D6" s="0" t="str">
        <f aca="false">IFERROR(__xludf.dummyfunction("""COMPUTED_VALUE"""),"AICI202004-3-1| Realizar estudio de factibilidad de instalaciones y espacio de almacenamiento en las bodegas de los almacenes de Simón Bolivar, Engativa y demás hospitales de la red, con el fin de determinar los puntos de distribución estratégicos. (01/10"&amp;"/2020 - 30/11/2020)")</f>
        <v>AICI202004-3-1| Realizar estudio de factibilidad de instalaciones y espacio de almacenamiento en las bodegas de los almacenes de Simón Bolivar, Engativa y demás hospitales de la red, con el fin de determinar los puntos de distribución estratégicos. (01/10/2020 - 30/11/2020)</v>
      </c>
      <c r="E6" s="0" t="str">
        <f aca="false">IFERROR(__xludf.dummyfunction("""COMPUTED_VALUE"""),"Se verifico que se   realizaron mejoras al proceso de almacén inhabilitando a chapinero como almacén acopio y se realizo  apertura del almacén del CES Suba , que cuenta con espacio suficiente para la recepción de Donaciones y otros insumos, adicionalmente"&amp;" se habilito la antigua Bodega de la Fray Bartolomé como almacén para la recepción de donaciones y  otros insumos. se anexo Informe de redistribución de Almacenes.")</f>
        <v>Se verifico que se   realizaron mejoras al proceso de almacén inhabilitando a chapinero como almacén acopio y se realizo  apertura del almacén del CES Suba , que cuenta con espacio suficiente para la recepción de Donaciones y otros insumos, adicionalmente se habilito la antigua Bodega de la Fray Bartolomé como almacén para la recepción de donaciones y  otros insumos. se anexo Informe de redistribución de Almacenes.</v>
      </c>
      <c r="F6" s="0" t="str">
        <f aca="false">IFERROR(__xludf.dummyfunction("""COMPUTED_VALUE"""),"Completo")</f>
        <v>Completo</v>
      </c>
    </row>
    <row r="7" customFormat="false" ht="14.25" hidden="false" customHeight="false" outlineLevel="0" collapsed="false">
      <c r="A7" s="18" t="str">
        <f aca="false">IFERROR(MID(D7,1,FIND("|",D7)-1)&amp;"-"&amp;C7,"")</f>
        <v>AICI202004-4-1-1</v>
      </c>
      <c r="B7" s="19" t="n">
        <f aca="false">IFERROR(__xludf.dummyfunction("""COMPUTED_VALUE"""),44350)</f>
        <v>44350</v>
      </c>
      <c r="C7" s="0" t="n">
        <f aca="false">IFERROR(__xludf.dummyfunction("""COMPUTED_VALUE"""),1)</f>
        <v>1</v>
      </c>
      <c r="D7" s="0" t="str">
        <f aca="false">IFERROR(__xludf.dummyfunction("""COMPUTED_VALUE"""),"AICI202004-4-1| Se realizará la inclusión del almacén dentro de la matriz de riesgos del proceso ""Gestión del ambiente físico y tecnológico - Almacén y suministros"" (01/10/2020 - 31/01/2021)")</f>
        <v>AICI202004-4-1| Se realizará la inclusión del almacén dentro de la matriz de riesgos del proceso "Gestión del ambiente físico y tecnológico - Almacén y suministros" (01/10/2020 - 31/01/2021)</v>
      </c>
      <c r="E7" s="0" t="str">
        <f aca="false">IFERROR(__xludf.dummyfunction("""COMPUTED_VALUE"""),"Esta acción se encuentra trazada.")</f>
        <v>Esta acción se encuentra trazada.</v>
      </c>
      <c r="F7" s="0" t="str">
        <f aca="false">IFERROR(__xludf.dummyfunction("""COMPUTED_VALUE"""),"Atrasado")</f>
        <v>Atrasado</v>
      </c>
    </row>
    <row r="8" customFormat="false" ht="14.25" hidden="false" customHeight="false" outlineLevel="0" collapsed="false">
      <c r="A8" s="18" t="str">
        <f aca="false">IFERROR(MID(D8,1,FIND("|",D8)-1)&amp;"-"&amp;C8,"")</f>
        <v>AICI202004-1-1-3</v>
      </c>
      <c r="B8" s="19" t="n">
        <f aca="false">IFERROR(__xludf.dummyfunction("""COMPUTED_VALUE"""),44578)</f>
        <v>44578</v>
      </c>
      <c r="C8" s="0" t="n">
        <f aca="false">IFERROR(__xludf.dummyfunction("""COMPUTED_VALUE"""),3)</f>
        <v>3</v>
      </c>
      <c r="D8" s="0" t="str">
        <f aca="false">IFERROR(__xludf.dummyfunction("""COMPUTED_VALUE"""),"AICI202004-1-1| Se solicitará a responsabilidad social la modificación del instructivo ES-GC-I-30-01, donde quede claro en que casos será de obligatorio diligenciamiento el formato descrito. (01/10/2020 - 30/11/2020)")</f>
        <v>AICI202004-1-1| Se solicitará a responsabilidad social la modificación del instructivo ES-GC-I-30-01, donde quede claro en que casos será de obligatorio diligenciamiento el formato descrito. (01/10/2020 - 30/11/2020)</v>
      </c>
      <c r="E8" s="0" t="str">
        <f aca="false">IFERROR(__xludf.dummyfunction("""COMPUTED_VALUE"""),"Se encuentra cerrada de seguimientos anteriores.")</f>
        <v>Se encuentra cerrada de seguimientos anteriores.</v>
      </c>
      <c r="F8" s="0" t="str">
        <f aca="false">IFERROR(__xludf.dummyfunction("""COMPUTED_VALUE"""),"Completo")</f>
        <v>Completo</v>
      </c>
    </row>
    <row r="9" customFormat="false" ht="14.25" hidden="false" customHeight="false" outlineLevel="0" collapsed="false">
      <c r="A9" s="18" t="str">
        <f aca="false">IFERROR(MID(D9,1,FIND("|",D9)-1)&amp;"-"&amp;C9,"")</f>
        <v>AICI202004-1-1-2</v>
      </c>
      <c r="B9" s="19" t="n">
        <f aca="false">IFERROR(__xludf.dummyfunction("""COMPUTED_VALUE"""),44578)</f>
        <v>44578</v>
      </c>
      <c r="C9" s="0" t="n">
        <f aca="false">IFERROR(__xludf.dummyfunction("""COMPUTED_VALUE"""),2)</f>
        <v>2</v>
      </c>
      <c r="D9" s="0" t="str">
        <f aca="false">IFERROR(__xludf.dummyfunction("""COMPUTED_VALUE"""),"AICI202004-1-1| Se solicitará a responsabilidad social la modificación del instructivo ES-GC-I-30-01, donde quede claro en que casos será de obligatorio diligenciamiento el formato descrito. (01/10/2020 - 30/11/2020)")</f>
        <v>AICI202004-1-1| Se solicitará a responsabilidad social la modificación del instructivo ES-GC-I-30-01, donde quede claro en que casos será de obligatorio diligenciamiento el formato descrito. (01/10/2020 - 30/11/2020)</v>
      </c>
      <c r="E9" s="0" t="str">
        <f aca="false">IFERROR(__xludf.dummyfunction("""COMPUTED_VALUE"""),"Esta Acción continua atrasada.")</f>
        <v>Esta Acción continua atrasada.</v>
      </c>
      <c r="F9" s="0" t="str">
        <f aca="false">IFERROR(__xludf.dummyfunction("""COMPUTED_VALUE"""),"Atrasado")</f>
        <v>Atrasado</v>
      </c>
    </row>
    <row r="10" customFormat="false" ht="14.25" hidden="false" customHeight="false" outlineLevel="0" collapsed="false">
      <c r="A10" s="18" t="str">
        <f aca="false">IFERROR(MID(D10,1,FIND("|",D10)-1)&amp;"-"&amp;C10,"")</f>
        <v>AICI202004-1-1-2</v>
      </c>
      <c r="B10" s="19" t="n">
        <f aca="false">IFERROR(__xludf.dummyfunction("""COMPUTED_VALUE"""),44578)</f>
        <v>44578</v>
      </c>
      <c r="C10" s="0" t="n">
        <f aca="false">IFERROR(__xludf.dummyfunction("""COMPUTED_VALUE"""),2)</f>
        <v>2</v>
      </c>
      <c r="D10" s="0" t="str">
        <f aca="false">IFERROR(__xludf.dummyfunction("""COMPUTED_VALUE"""),"AICI202004-1-1| Se solicitará a responsabilidad social la modificación del instructivo ES-GC-I-30-01, donde quede claro en que casos será de obligatorio diligenciamiento el formato descrito. (01/10/2020 - 30/11/2020)")</f>
        <v>AICI202004-1-1| Se solicitará a responsabilidad social la modificación del instructivo ES-GC-I-30-01, donde quede claro en que casos será de obligatorio diligenciamiento el formato descrito. (01/10/2020 - 30/11/2020)</v>
      </c>
      <c r="E10" s="0" t="str">
        <f aca="false">IFERROR(__xludf.dummyfunction("""COMPUTED_VALUE"""),"Esta acción continúa atrasada. Se realizó seguimiento mediante acta 2 del 17 de enero de 2022.")</f>
        <v>Esta acción continúa atrasada. Se realizó seguimiento mediante acta 2 del 17 de enero de 2022.</v>
      </c>
      <c r="F10" s="0" t="str">
        <f aca="false">IFERROR(__xludf.dummyfunction("""COMPUTED_VALUE"""),"Atrasado")</f>
        <v>Atrasado</v>
      </c>
    </row>
    <row r="11" customFormat="false" ht="14.25" hidden="false" customHeight="false" outlineLevel="0" collapsed="false">
      <c r="A11" s="18" t="str">
        <f aca="false">IFERROR(MID(D11,1,FIND("|",D11)-1)&amp;"-"&amp;C11,"")</f>
        <v>AICI202004-2-1-2</v>
      </c>
      <c r="B11" s="19" t="n">
        <f aca="false">IFERROR(__xludf.dummyfunction("""COMPUTED_VALUE"""),44578)</f>
        <v>44578</v>
      </c>
      <c r="C11" s="0" t="n">
        <f aca="false">IFERROR(__xludf.dummyfunction("""COMPUTED_VALUE"""),2)</f>
        <v>2</v>
      </c>
      <c r="D11" s="0" t="str">
        <f aca="false">IFERROR(__xludf.dummyfunction("""COMPUTED_VALUE"""),"AICI202004-2-1| Actualmente se encuentra en desarrollo una herramienta BI, donde se permitirá la gestión de los Saldos distriubuidos en los servicios. Inidicadores, rotaciones y promedios móviles de consumo. (01/10/2020 - 31/12/2020)")</f>
        <v>AICI202004-2-1| Actualmente se encuentra en desarrollo una herramienta BI, donde se permitirá la gestión de los Saldos distriubuidos en los servicios. Inidicadores, rotaciones y promedios móviles de consumo. (01/10/2020 - 31/12/2020)</v>
      </c>
      <c r="E11" s="0" t="str">
        <f aca="false">IFERROR(__xludf.dummyfunction("""COMPUTED_VALUE"""),"Esta acción se encuentra cerrada de acuerdo al seguimiento realizado en la vigencia anterior – 2021")</f>
        <v>Esta acción se encuentra cerrada de acuerdo al seguimiento realizado en la vigencia anterior – 2021</v>
      </c>
      <c r="F11" s="0" t="str">
        <f aca="false">IFERROR(__xludf.dummyfunction("""COMPUTED_VALUE"""),"Completo")</f>
        <v>Completo</v>
      </c>
    </row>
    <row r="12" customFormat="false" ht="14.25" hidden="false" customHeight="false" outlineLevel="0" collapsed="false">
      <c r="A12" s="18" t="str">
        <f aca="false">IFERROR(MID(D12,1,FIND("|",D12)-1)&amp;"-"&amp;C12,"")</f>
        <v>AICI202004-3-1-2</v>
      </c>
      <c r="B12" s="19" t="n">
        <f aca="false">IFERROR(__xludf.dummyfunction("""COMPUTED_VALUE"""),44578)</f>
        <v>44578</v>
      </c>
      <c r="C12" s="0" t="n">
        <f aca="false">IFERROR(__xludf.dummyfunction("""COMPUTED_VALUE"""),2)</f>
        <v>2</v>
      </c>
      <c r="D12" s="0" t="str">
        <f aca="false">IFERROR(__xludf.dummyfunction("""COMPUTED_VALUE"""),"AICI202004-3-1| Realizar estudio de factibilidad de instalaciones y espacio de almacenamiento en las bodegas de los almacenes de Simón Bolivar, Engativa y demás hospitales de la red, con el fin de determinar los puntos de distribución estratégicos. (01/10"&amp;"/2020 - 30/11/2020)")</f>
        <v>AICI202004-3-1| Realizar estudio de factibilidad de instalaciones y espacio de almacenamiento en las bodegas de los almacenes de Simón Bolivar, Engativa y demás hospitales de la red, con el fin de determinar los puntos de distribución estratégicos. (01/10/2020 - 30/11/2020)</v>
      </c>
      <c r="E12" s="0" t="str">
        <f aca="false">IFERROR(__xludf.dummyfunction("""COMPUTED_VALUE"""),"Esta acción se encuentra cerrada de acuerdo al seguimiento realizado en la vigencia anterior – 2021")</f>
        <v>Esta acción se encuentra cerrada de acuerdo al seguimiento realizado en la vigencia anterior – 2021</v>
      </c>
      <c r="F12" s="0" t="str">
        <f aca="false">IFERROR(__xludf.dummyfunction("""COMPUTED_VALUE"""),"Completo")</f>
        <v>Completo</v>
      </c>
    </row>
    <row r="13" customFormat="false" ht="14.25" hidden="false" customHeight="false" outlineLevel="0" collapsed="false">
      <c r="A13" s="18" t="str">
        <f aca="false">IFERROR(MID(D13,1,FIND("|",D13)-1)&amp;"-"&amp;C13,"")</f>
        <v>AICI202004-4-1-2</v>
      </c>
      <c r="B13" s="19" t="n">
        <f aca="false">IFERROR(__xludf.dummyfunction("""COMPUTED_VALUE"""),44578)</f>
        <v>44578</v>
      </c>
      <c r="C13" s="0" t="n">
        <f aca="false">IFERROR(__xludf.dummyfunction("""COMPUTED_VALUE"""),2)</f>
        <v>2</v>
      </c>
      <c r="D13" s="0" t="str">
        <f aca="false">IFERROR(__xludf.dummyfunction("""COMPUTED_VALUE"""),"AICI202004-4-1| Se realizará la inclusión del almacén dentro de la matriz de riesgos del proceso ""Gestión del ambiente físico y tecnológico - Almacén y suministros"" (01/10/2020 - 31/01/2021)")</f>
        <v>AICI202004-4-1| Se realizará la inclusión del almacén dentro de la matriz de riesgos del proceso "Gestión del ambiente físico y tecnológico - Almacén y suministros" (01/10/2020 - 31/01/2021)</v>
      </c>
      <c r="E13" s="0" t="str">
        <f aca="false">IFERROR(__xludf.dummyfunction("""COMPUTED_VALUE"""),"Esta acción continúa atrasada. Se realizó seguimiento mediante acta 2 del 17 de enero de 2022.")</f>
        <v>Esta acción continúa atrasada. Se realizó seguimiento mediante acta 2 del 17 de enero de 2022.</v>
      </c>
      <c r="F13" s="0" t="str">
        <f aca="false">IFERROR(__xludf.dummyfunction("""COMPUTED_VALUE"""),"Atrasado")</f>
        <v>Atrasado</v>
      </c>
    </row>
    <row r="14" customFormat="false" ht="14.25" hidden="false" customHeight="false" outlineLevel="0" collapsed="false">
      <c r="A14" s="18" t="str">
        <f aca="false">IFERROR(MID(D14,1,FIND("|",D14)-1)&amp;"-"&amp;C14,"")</f>
        <v>AICI202004-4-1-3</v>
      </c>
      <c r="B14" s="19" t="n">
        <f aca="false">IFERROR(__xludf.dummyfunction("""COMPUTED_VALUE"""),44656)</f>
        <v>44656</v>
      </c>
      <c r="C14" s="0" t="n">
        <f aca="false">IFERROR(__xludf.dummyfunction("""COMPUTED_VALUE"""),3)</f>
        <v>3</v>
      </c>
      <c r="D14" s="0" t="str">
        <f aca="false">IFERROR(__xludf.dummyfunction("""COMPUTED_VALUE"""),"AICI202004-4-1| Se realizará la inclusión del almacén dentro de la matriz de riesgos del proceso ""Gestión del ambiente físico y tecnológico - Almacén y suministros"" (01/10/2020 - 31/01/2021)")</f>
        <v>AICI202004-4-1| Se realizará la inclusión del almacén dentro de la matriz de riesgos del proceso "Gestión del ambiente físico y tecnológico - Almacén y suministros" (01/10/2020 - 31/01/2021)</v>
      </c>
      <c r="E14" s="0" t="str">
        <f aca="false">IFERROR(__xludf.dummyfunction("""COMPUTED_VALUE"""),"De acuerdo a la anterior acción se informa a esta oficina por los profesionales Ginna Lucía Forero Herrera y Carlos Torres de la Dirección Administrativa que esta acción continua pendiente de realizarse la respectiva capacitación con respecto  la metodolo"&amp;"gía para la administración del riesgo y analizar, identificar y revisar dentro del proceso de Almacén los posibles riesgos que pueden llegar a afectar el cumplimiento de los objetivos institucionales.
Por lo anterior se programara una capacitación para el"&amp;" segundo trimestre la metodología para la administración del riesgo y  para el primer semestre del presente año se tiene programada por la oficina de Desarrollo Institucional las respectivas modificaciones e implementaciones de los riesgos en los diferent"&amp;"es procesos que se tienen en la entidad a fin de actualizarlos.")</f>
        <v>De acuerdo a la anterior acción se informa a esta oficina por los profesionales Ginna Lucía Forero Herrera y Carlos Torres de la Dirección Administrativa que esta acción continua pendiente de realizarse la respectiva capacitación con respecto  la metodología para la administración del riesgo y analizar, identificar y revisar dentro del proceso de Almacén los posibles riesgos que pueden llegar a afectar el cumplimiento de los objetivos institucionales.
Por lo anterior se programara una capacitación para el segundo trimestre la metodología para la administración del riesgo y  para el primer semestre del presente año se tiene programada por la oficina de Desarrollo Institucional las respectivas modificaciones e implementaciones de los riesgos en los diferentes procesos que se tienen en la entidad a fin de actualizarlos.</v>
      </c>
      <c r="F14" s="0" t="str">
        <f aca="false">IFERROR(__xludf.dummyfunction("""COMPUTED_VALUE"""),"Atrasado")</f>
        <v>Atrasado</v>
      </c>
    </row>
    <row r="15" customFormat="false" ht="14.25" hidden="false" customHeight="false" outlineLevel="0" collapsed="false">
      <c r="A15" s="18" t="str">
        <f aca="false">IFERROR(MID(D15,1,FIND("|",D15)-1)&amp;"-"&amp;C15,"")</f>
        <v>AICI202004-4-1-3</v>
      </c>
      <c r="B15" s="19" t="n">
        <f aca="false">IFERROR(__xludf.dummyfunction("""COMPUTED_VALUE"""),44750)</f>
        <v>44750</v>
      </c>
      <c r="C15" s="0" t="n">
        <f aca="false">IFERROR(__xludf.dummyfunction("""COMPUTED_VALUE"""),3)</f>
        <v>3</v>
      </c>
      <c r="D15" s="0" t="str">
        <f aca="false">IFERROR(__xludf.dummyfunction("""COMPUTED_VALUE"""),"AICI202004-4-1| Se realizará la inclusión del almacén dentro de la matriz de riesgos del proceso ""Gestión del ambiente físico y tecnológico - Almacén y suministros"" (01/10/2020 - 31/01/2021)")</f>
        <v>AICI202004-4-1| Se realizará la inclusión del almacén dentro de la matriz de riesgos del proceso "Gestión del ambiente físico y tecnológico - Almacén y suministros" (01/10/2020 - 31/01/2021)</v>
      </c>
      <c r="E15" s="0" t="str">
        <f aca="false">IFERROR(__xludf.dummyfunction("""COMPUTED_VALUE"""),"•        la   acción de Mejoramiento Presentada por el área de Gestión del ambiente físico y tecnológico - Almacén, tiene que ver con la modificación o actualización del Mapa de Riesgos Institucional lo cual depende de la Oficina de Desarrollo Institucion"&amp;"al, Adjunto a la presente la solicitud efectuada a dicha Oficina para que por favor indique el proceso a seguir para actualizar el Mapa de riegos Institucional y soportar el hallazgo ante la Oficina de Control Interno.")</f>
        <v>•        la   acción de Mejoramiento Presentada por el área de Gestión del ambiente físico y tecnológico - Almacén, tiene que ver con la modificación o actualización del Mapa de Riesgos Institucional lo cual depende de la Oficina de Desarrollo Institucional, Adjunto a la presente la solicitud efectuada a dicha Oficina para que por favor indique el proceso a seguir para actualizar el Mapa de riegos Institucional y soportar el hallazgo ante la Oficina de Control Interno.</v>
      </c>
      <c r="F15" s="0" t="str">
        <f aca="false">IFERROR(__xludf.dummyfunction("""COMPUTED_VALUE"""),"Atrasado")</f>
        <v>Atrasado</v>
      </c>
    </row>
    <row r="16" customFormat="false" ht="14.25" hidden="false" customHeight="false" outlineLevel="0" collapsed="false">
      <c r="A16" s="18" t="str">
        <f aca="false">IFERROR(MID(D16,1,FIND("|",D16)-1)&amp;"-"&amp;C16,"")</f>
        <v>AICI202004-4-1-4</v>
      </c>
      <c r="B16" s="19" t="n">
        <f aca="false">IFERROR(__xludf.dummyfunction("""COMPUTED_VALUE"""),44840)</f>
        <v>44840</v>
      </c>
      <c r="C16" s="0" t="n">
        <f aca="false">IFERROR(__xludf.dummyfunction("""COMPUTED_VALUE"""),4)</f>
        <v>4</v>
      </c>
      <c r="D16" s="0" t="str">
        <f aca="false">IFERROR(__xludf.dummyfunction("""COMPUTED_VALUE"""),"AICI202004-4-1| Se realizará la inclusión del almacén dentro de la matriz de riesgos del proceso ""Gestión del ambiente físico y tecnológico - Almacén y suministros"" (01/10/2020 - 31/01/2021)")</f>
        <v>AICI202004-4-1| Se realizará la inclusión del almacén dentro de la matriz de riesgos del proceso "Gestión del ambiente físico y tecnológico - Almacén y suministros" (01/10/2020 - 31/01/2021)</v>
      </c>
      <c r="E16" s="0" t="str">
        <f aca="false">IFERROR(__xludf.dummyfunction("""COMPUTED_VALUE"""),"De acuerdo a esta acción se informa a esta oficina por el profesional Carlos Torres de la Dirección Administrativa  esta acción se realizo  la respectiva capacitación con respecto  la metodología para la administración del riesgo y analizar, identificar y"&amp;" quedando pendiente en revisar dentro del proceso de Almacén los posibles riesgos que pueden llegar a afectar el cumplimiento de los objetivos institucionales.")</f>
        <v>De acuerdo a esta acción se informa a esta oficina por el profesional Carlos Torres de la Dirección Administrativa  esta acción se realizo  la respectiva capacitación con respecto  la metodología para la administración del riesgo y analizar, identificar y quedando pendiente en revisar dentro del proceso de Almacén los posibles riesgos que pueden llegar a afectar el cumplimiento de los objetivos institucionales.</v>
      </c>
      <c r="F16" s="0" t="str">
        <f aca="false">IFERROR(__xludf.dummyfunction("""COMPUTED_VALUE"""),"Atrasado")</f>
        <v>Atrasado</v>
      </c>
    </row>
    <row r="17" customFormat="false" ht="14.25" hidden="false" customHeight="false" outlineLevel="0" collapsed="false">
      <c r="A17" s="18" t="str">
        <f aca="false">IFERROR(MID(D17,1,FIND("|",D17)-1)&amp;"-"&amp;C17,"")</f>
        <v>AICI202004-4-1-5</v>
      </c>
      <c r="B17" s="19" t="n">
        <f aca="false">IFERROR(__xludf.dummyfunction("""COMPUTED_VALUE"""),44944)</f>
        <v>44944</v>
      </c>
      <c r="C17" s="0" t="n">
        <f aca="false">IFERROR(__xludf.dummyfunction("""COMPUTED_VALUE"""),5)</f>
        <v>5</v>
      </c>
      <c r="D17" s="0" t="str">
        <f aca="false">IFERROR(__xludf.dummyfunction("""COMPUTED_VALUE"""),"AICI202004-4-1| Se realizará la inclusión del almacén dentro de la matriz de riesgos del proceso ""Gestión del ambiente físico y tecnológico - Almacén y suministros"" (01/10/2020 - 31/01/2021)")</f>
        <v>AICI202004-4-1| Se realizará la inclusión del almacén dentro de la matriz de riesgos del proceso "Gestión del ambiente físico y tecnológico - Almacén y suministros" (01/10/2020 - 31/01/2021)</v>
      </c>
      <c r="E17" s="0" t="str">
        <f aca="false">IFERROR(__xludf.dummyfunction("""COMPUTED_VALUE"""),"Se realizó Jornada de Actualización de Riesgos Institucionales 2022 - 2023 - Subred Norte  E.S.E  en la que se  relacionó los temas como: Capacitación  en conceptos establecidos por la normatividad interna y externa de la Administración del Riesgo y su ac"&amp;"tualización de acuerdo a la  metodología establecida para el levantamiento, evaluación, valoración y seguimiento a los riesgos identificados en la Subred.")</f>
        <v>Se realizó Jornada de Actualización de Riesgos Institucionales 2022 - 2023 - Subred Norte  E.S.E  en la que se  relacionó los temas como: Capacitación  en conceptos establecidos por la normatividad interna y externa de la Administración del Riesgo y su actualización de acuerdo a la  metodología establecida para el levantamiento, evaluación, valoración y seguimiento a los riesgos identificados en la Subred.</v>
      </c>
      <c r="F17" s="0" t="str">
        <f aca="false">IFERROR(__xludf.dummyfunction("""COMPUTED_VALUE"""),"Completo")</f>
        <v>Completo</v>
      </c>
      <c r="G17" s="0" t="str">
        <f aca="false">IFERROR(__xludf.dummyfunction("""COMPUTED_VALUE"""),"Sí")</f>
        <v>Sí</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1822</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AICI202005-1-1-1</v>
      </c>
      <c r="B4" s="19" t="n">
        <f aca="false">IFERROR(__xludf.dummyfunction("""COMPUTED_VALUE"""),44376)</f>
        <v>44376</v>
      </c>
      <c r="C4" s="0" t="n">
        <f aca="false">IFERROR(__xludf.dummyfunction("""COMPUTED_VALUE"""),1)</f>
        <v>1</v>
      </c>
      <c r="D4" s="0" t="str">
        <f aca="false">IFERROR(__xludf.dummyfunction("""COMPUTED_VALUE"""),"AICI202005-1-1| Realizar evaluación de cumplimiento del PETI 2016-2020 de la vigencia anterior y determinar el estado de ejecución de proyectos, planes y actividades y construir sobre dicho plan. (01/10/2020 - 31/12/2020)")</f>
        <v>AICI202005-1-1| Realizar evaluación de cumplimiento del PETI 2016-2020 de la vigencia anterior y determinar el estado de ejecución de proyectos, planes y actividades y construir sobre dicho plan. (01/10/2020 - 31/12/2020)</v>
      </c>
      <c r="E4" s="0" t="str">
        <f aca="false">IFERROR(__xludf.dummyfunction("""COMPUTED_VALUE"""),"Se realizó evaluación de cumplimiento del PETI 2016 -2020 con un cumplimiento de . Dado este cumplimento se retomaron los proyectos de uso y apropiación e IPV6")</f>
        <v>Se realizó evaluación de cumplimiento del PETI 2016 -2020 con un cumplimiento de . Dado este cumplimento se retomaron los proyectos de uso y apropiación e IPV6</v>
      </c>
      <c r="F4" s="0" t="str">
        <f aca="false">IFERROR(__xludf.dummyfunction("""COMPUTED_VALUE"""),"Completo")</f>
        <v>Completo</v>
      </c>
    </row>
    <row r="5" customFormat="false" ht="14.25" hidden="false" customHeight="false" outlineLevel="0" collapsed="false">
      <c r="A5" s="18" t="str">
        <f aca="false">IFERROR(MID(D5,1,FIND("|",D5)-1)&amp;"-"&amp;C5,"")</f>
        <v>AICI202005-1-2-1</v>
      </c>
      <c r="B5" s="19" t="n">
        <f aca="false">IFERROR(__xludf.dummyfunction("""COMPUTED_VALUE"""),44376)</f>
        <v>44376</v>
      </c>
      <c r="C5" s="0" t="n">
        <f aca="false">IFERROR(__xludf.dummyfunction("""COMPUTED_VALUE"""),1)</f>
        <v>1</v>
      </c>
      <c r="D5" s="0" t="str">
        <f aca="false">IFERROR(__xludf.dummyfunction("""COMPUTED_VALUE"""),"AICI202005-1-2| Definir responsables directos del plan de trabajo del PETI 2020-20204 y la ruta critica. (01/10/2020 - 31/10/2020)")</f>
        <v>AICI202005-1-2| Definir responsables directos del plan de trabajo del PETI 2020-20204 y la ruta critica. (01/10/2020 - 31/10/2020)</v>
      </c>
      <c r="E5" s="0" t="str">
        <f aca="false">IFERROR(__xludf.dummyfunction("""COMPUTED_VALUE"""),"Se presenta cronograma de ejecución de proyectos PETI 2021 con responsables.")</f>
        <v>Se presenta cronograma de ejecución de proyectos PETI 2021 con responsables.</v>
      </c>
      <c r="F5" s="0" t="str">
        <f aca="false">IFERROR(__xludf.dummyfunction("""COMPUTED_VALUE"""),"Completo")</f>
        <v>Completo</v>
      </c>
    </row>
    <row r="6" customFormat="false" ht="14.25" hidden="false" customHeight="false" outlineLevel="0" collapsed="false">
      <c r="A6" s="18" t="str">
        <f aca="false">IFERROR(MID(D6,1,FIND("|",D6)-1)&amp;"-"&amp;C6,"")</f>
        <v>AICI202005-1-3-1</v>
      </c>
      <c r="B6" s="19" t="n">
        <f aca="false">IFERROR(__xludf.dummyfunction("""COMPUTED_VALUE"""),44376)</f>
        <v>44376</v>
      </c>
      <c r="C6" s="0" t="n">
        <f aca="false">IFERROR(__xludf.dummyfunction("""COMPUTED_VALUE"""),1)</f>
        <v>1</v>
      </c>
      <c r="D6" s="0" t="str">
        <f aca="false">IFERROR(__xludf.dummyfunction("""COMPUTED_VALUE"""),"AICI202005-1-3| Incluir en el PETI 2020-2024 el portafolio de proyectos que incluya el presupuesto de forma individualizada y por vigencias. (01/10/2020 - 30/11/2020)")</f>
        <v>AICI202005-1-3| Incluir en el PETI 2020-2024 el portafolio de proyectos que incluya el presupuesto de forma individualizada y por vigencias. (01/10/2020 - 30/11/2020)</v>
      </c>
      <c r="E6" s="0" t="str">
        <f aca="false">IFERROR(__xludf.dummyfunction("""COMPUTED_VALUE"""),"Se verifica que el PETI 2020 -2024 tiene implementado el portafolio de proyectos individualizado y con presupuesto de acuerdo con las metas del proyecto de desarrollo.")</f>
        <v>Se verifica que el PETI 2020 -2024 tiene implementado el portafolio de proyectos individualizado y con presupuesto de acuerdo con las metas del proyecto de desarrollo.</v>
      </c>
      <c r="F6" s="0" t="str">
        <f aca="false">IFERROR(__xludf.dummyfunction("""COMPUTED_VALUE"""),"Completo")</f>
        <v>Completo</v>
      </c>
    </row>
    <row r="7" customFormat="false" ht="14.25" hidden="false" customHeight="false" outlineLevel="0" collapsed="false">
      <c r="A7" s="18" t="str">
        <f aca="false">IFERROR(MID(D7,1,FIND("|",D7)-1)&amp;"-"&amp;C7,"")</f>
        <v>AICI202005-1-4-1</v>
      </c>
      <c r="B7" s="19" t="n">
        <f aca="false">IFERROR(__xludf.dummyfunction("""COMPUTED_VALUE"""),44376)</f>
        <v>44376</v>
      </c>
      <c r="C7" s="0" t="n">
        <f aca="false">IFERROR(__xludf.dummyfunction("""COMPUTED_VALUE"""),1)</f>
        <v>1</v>
      </c>
      <c r="D7" s="0" t="str">
        <f aca="false">IFERROR(__xludf.dummyfunction("""COMPUTED_VALUE"""),"AICI202005-1-4| Determinar los riesgos para el cumplimiento de los planes y proyectos establecidos en el PETI vigencia 2020-2024 (01/10/2020 - 30/11/2020)")</f>
        <v>AICI202005-1-4| Determinar los riesgos para el cumplimiento de los planes y proyectos establecidos en el PETI vigencia 2020-2024 (01/10/2020 - 30/11/2020)</v>
      </c>
      <c r="E7" s="0" t="str">
        <f aca="false">IFERROR(__xludf.dummyfunction("""COMPUTED_VALUE"""),"Se evidencia la elaboración de cinco (5) riesgos en el PETI.  Se sugiere implementarlos en el mapa de riesgos de la entidad y hacer el seguimiento.")</f>
        <v>Se evidencia la elaboración de cinco (5) riesgos en el PETI.  Se sugiere implementarlos en el mapa de riesgos de la entidad y hacer el seguimiento.</v>
      </c>
      <c r="F7" s="0" t="str">
        <f aca="false">IFERROR(__xludf.dummyfunction("""COMPUTED_VALUE"""),"Completo")</f>
        <v>Completo</v>
      </c>
    </row>
    <row r="8" customFormat="false" ht="14.25" hidden="false" customHeight="false" outlineLevel="0" collapsed="false">
      <c r="A8" s="18" t="str">
        <f aca="false">IFERROR(MID(D8,1,FIND("|",D8)-1)&amp;"-"&amp;C8,"")</f>
        <v>AICI202005-2-1-1</v>
      </c>
      <c r="B8" s="19" t="n">
        <f aca="false">IFERROR(__xludf.dummyfunction("""COMPUTED_VALUE"""),44376)</f>
        <v>44376</v>
      </c>
      <c r="C8" s="0" t="n">
        <f aca="false">IFERROR(__xludf.dummyfunction("""COMPUTED_VALUE"""),1)</f>
        <v>1</v>
      </c>
      <c r="D8" s="0" t="str">
        <f aca="false">IFERROR(__xludf.dummyfunction("""COMPUTED_VALUE"""),"AICI202005-2-1| Realizar evaluación de cumplimiento del PETI 2016-2020 de la vigencia anterior y determinar el estado de ejecución del mismo. (01/10/2020 - 31/10/2020)")</f>
        <v>AICI202005-2-1| Realizar evaluación de cumplimiento del PETI 2016-2020 de la vigencia anterior y determinar el estado de ejecución del mismo. (01/10/2020 - 31/10/2020)</v>
      </c>
      <c r="E8" s="0" t="str">
        <f aca="false">IFERROR(__xludf.dummyfunction("""COMPUTED_VALUE"""),"Se realizó evaluación de cumplimiento del PETI 2016 -2020 con un cumplimiento de . Dado este cumplimento se retomaron los proyectos de uso y apropiación e IPV6")</f>
        <v>Se realizó evaluación de cumplimiento del PETI 2016 -2020 con un cumplimiento de . Dado este cumplimento se retomaron los proyectos de uso y apropiación e IPV6</v>
      </c>
      <c r="F8" s="0" t="str">
        <f aca="false">IFERROR(__xludf.dummyfunction("""COMPUTED_VALUE"""),"Completo")</f>
        <v>Completo</v>
      </c>
    </row>
    <row r="9" customFormat="false" ht="14.25" hidden="false" customHeight="false" outlineLevel="0" collapsed="false">
      <c r="A9" s="18" t="str">
        <f aca="false">IFERROR(MID(D9,1,FIND("|",D9)-1)&amp;"-"&amp;C9,"")</f>
        <v>AICI202005-3-1-1</v>
      </c>
      <c r="B9" s="19" t="n">
        <f aca="false">IFERROR(__xludf.dummyfunction("""COMPUTED_VALUE"""),44376)</f>
        <v>44376</v>
      </c>
      <c r="C9" s="0" t="n">
        <f aca="false">IFERROR(__xludf.dummyfunction("""COMPUTED_VALUE"""),1)</f>
        <v>1</v>
      </c>
      <c r="D9" s="0" t="str">
        <f aca="false">IFERROR(__xludf.dummyfunction("""COMPUTED_VALUE"""),"AICI202005-3-1| Realizar evaluación de cumplimiento del PETI 2016-2020 de la vigencia anterior y determinar el estado de ejecución de proyectos, planes y actividades y construir sobre dicho plan. (01/10/2020 - 31/10/2020)")</f>
        <v>AICI202005-3-1| Realizar evaluación de cumplimiento del PETI 2016-2020 de la vigencia anterior y determinar el estado de ejecución de proyectos, planes y actividades y construir sobre dicho plan. (01/10/2020 - 31/10/2020)</v>
      </c>
      <c r="E9" s="0" t="str">
        <f aca="false">IFERROR(__xludf.dummyfunction("""COMPUTED_VALUE"""),"Se realizó evaluación de cumplimiento del PETI 2016 -2020 con un cumplimiento de . Dado este cumplimento se retomaron los proyectos de uso y apropiación e IPV6")</f>
        <v>Se realizó evaluación de cumplimiento del PETI 2016 -2020 con un cumplimiento de . Dado este cumplimento se retomaron los proyectos de uso y apropiación e IPV6</v>
      </c>
      <c r="F9" s="0" t="str">
        <f aca="false">IFERROR(__xludf.dummyfunction("""COMPUTED_VALUE"""),"Completo")</f>
        <v>Completo</v>
      </c>
    </row>
    <row r="10" customFormat="false" ht="14.25" hidden="false" customHeight="false" outlineLevel="0" collapsed="false">
      <c r="A10" s="18" t="str">
        <f aca="false">IFERROR(MID(D10,1,FIND("|",D10)-1)&amp;"-"&amp;C10,"")</f>
        <v>AICI202005-3-2-1</v>
      </c>
      <c r="B10" s="19" t="n">
        <f aca="false">IFERROR(__xludf.dummyfunction("""COMPUTED_VALUE"""),44376)</f>
        <v>44376</v>
      </c>
      <c r="C10" s="0" t="n">
        <f aca="false">IFERROR(__xludf.dummyfunction("""COMPUTED_VALUE"""),1)</f>
        <v>1</v>
      </c>
      <c r="D10" s="0" t="str">
        <f aca="false">IFERROR(__xludf.dummyfunction("""COMPUTED_VALUE"""),"AICI202005-3-2| Definir responsables directos del plan de trabajo del PETI 2020-20204 y la ruta critica. (01/10/2020 - 31/10/2020)")</f>
        <v>AICI202005-3-2| Definir responsables directos del plan de trabajo del PETI 2020-20204 y la ruta critica. (01/10/2020 - 31/10/2020)</v>
      </c>
      <c r="E10" s="0" t="str">
        <f aca="false">IFERROR(__xludf.dummyfunction("""COMPUTED_VALUE"""),"Se presenta cronograma de ejecución de proyectos PETI 2021 con responsables.")</f>
        <v>Se presenta cronograma de ejecución de proyectos PETI 2021 con responsables.</v>
      </c>
      <c r="F10" s="0" t="str">
        <f aca="false">IFERROR(__xludf.dummyfunction("""COMPUTED_VALUE"""),"Completo")</f>
        <v>Completo</v>
      </c>
    </row>
    <row r="11" customFormat="false" ht="14.25" hidden="false" customHeight="false" outlineLevel="0" collapsed="false">
      <c r="A11" s="18" t="str">
        <f aca="false">IFERROR(MID(D11,1,FIND("|",D11)-1)&amp;"-"&amp;C11,"")</f>
        <v>AICI202005-4-1-1</v>
      </c>
      <c r="B11" s="19" t="n">
        <f aca="false">IFERROR(__xludf.dummyfunction("""COMPUTED_VALUE"""),44376)</f>
        <v>44376</v>
      </c>
      <c r="C11" s="0" t="n">
        <f aca="false">IFERROR(__xludf.dummyfunction("""COMPUTED_VALUE"""),1)</f>
        <v>1</v>
      </c>
      <c r="D11" s="0" t="str">
        <f aca="false">IFERROR(__xludf.dummyfunction("""COMPUTED_VALUE"""),"AICI202005-4-1| En el portafolio de proyectos debe contener el presupuesto individualizado, de tal manera que se pueda determinar el valor del PETI por vigencia. (01/10/2020 - 30/11/2020)")</f>
        <v>AICI202005-4-1| En el portafolio de proyectos debe contener el presupuesto individualizado, de tal manera que se pueda determinar el valor del PETI por vigencia. (01/10/2020 - 30/11/2020)</v>
      </c>
      <c r="E11" s="0" t="str">
        <f aca="false">IFERROR(__xludf.dummyfunction("""COMPUTED_VALUE"""),"Se evidencia en el PETI  portafolio de proyectos con presupuesto individualizado.")</f>
        <v>Se evidencia en el PETI  portafolio de proyectos con presupuesto individualizado.</v>
      </c>
      <c r="F11" s="0" t="str">
        <f aca="false">IFERROR(__xludf.dummyfunction("""COMPUTED_VALUE"""),"Completo")</f>
        <v>Completo</v>
      </c>
    </row>
    <row r="12" customFormat="false" ht="14.25" hidden="false" customHeight="false" outlineLevel="0" collapsed="false">
      <c r="A12" s="18" t="str">
        <f aca="false">IFERROR(MID(D12,1,FIND("|",D12)-1)&amp;"-"&amp;C12,"")</f>
        <v>AICI202005-4-2-1</v>
      </c>
      <c r="B12" s="19" t="n">
        <f aca="false">IFERROR(__xludf.dummyfunction("""COMPUTED_VALUE"""),44376)</f>
        <v>44376</v>
      </c>
      <c r="C12" s="0" t="n">
        <f aca="false">IFERROR(__xludf.dummyfunction("""COMPUTED_VALUE"""),1)</f>
        <v>1</v>
      </c>
      <c r="D12" s="0" t="str">
        <f aca="false">IFERROR(__xludf.dummyfunction("""COMPUTED_VALUE"""),"AICI202005-4-2| Establecer los riesgos que impidan el cumplimiento de los planes y proyectos del PETI vigencia 2020-2024 (01/10/2020 - 30/11/2020)")</f>
        <v>AICI202005-4-2| Establecer los riesgos que impidan el cumplimiento de los planes y proyectos del PETI vigencia 2020-2024 (01/10/2020 - 30/11/2020)</v>
      </c>
      <c r="E12" s="0" t="str">
        <f aca="false">IFERROR(__xludf.dummyfunction("""COMPUTED_VALUE"""),"Se evidencia la elaboración de cinco (5) riesgos en el PETI.  Se sugiere implementarlos en el mapa de riesgos de la entidad y hacer el seguimiento.")</f>
        <v>Se evidencia la elaboración de cinco (5) riesgos en el PETI.  Se sugiere implementarlos en el mapa de riesgos de la entidad y hacer el seguimiento.</v>
      </c>
      <c r="F12" s="0" t="str">
        <f aca="false">IFERROR(__xludf.dummyfunction("""COMPUTED_VALUE"""),"Completo")</f>
        <v>Completo</v>
      </c>
    </row>
    <row r="13" customFormat="false" ht="14.25" hidden="false" customHeight="false" outlineLevel="0" collapsed="false">
      <c r="A13" s="18" t="str">
        <f aca="false">IFERROR(MID(D13,1,FIND("|",D13)-1)&amp;"-"&amp;C13,"")</f>
        <v>AICI202005-5-1-1</v>
      </c>
      <c r="B13" s="19" t="n">
        <f aca="false">IFERROR(__xludf.dummyfunction("""COMPUTED_VALUE"""),44376)</f>
        <v>44376</v>
      </c>
      <c r="C13" s="0" t="n">
        <f aca="false">IFERROR(__xludf.dummyfunction("""COMPUTED_VALUE"""),1)</f>
        <v>1</v>
      </c>
      <c r="D13" s="0" t="str">
        <f aca="false">IFERROR(__xludf.dummyfunction("""COMPUTED_VALUE"""),"AICI202005-5-1| Realizar el despliegue de las polìticas de seguridad y privacidad de la información de acuerdo al plan de comunicaciones del area y evaluación de las mismas. (01/10/2020 - 31/12/2020)")</f>
        <v>AICI202005-5-1| Realizar el despliegue de las polìticas de seguridad y privacidad de la información de acuerdo al plan de comunicaciones del area y evaluación de las mismas. (01/10/2020 - 31/12/2020)</v>
      </c>
      <c r="E13" s="0" t="str">
        <f aca="false">IFERROR(__xludf.dummyfunction("""COMPUTED_VALUE"""),"Se cuenta con un documento en versión preliminar del manual de políticas, con relación al despliegue de las políticas este se encuentra en el Plan de comunicaciones del plan de seguridad de la información.")</f>
        <v>Se cuenta con un documento en versión preliminar del manual de políticas, con relación al despliegue de las políticas este se encuentra en el Plan de comunicaciones del plan de seguridad de la información.</v>
      </c>
      <c r="F13" s="0" t="str">
        <f aca="false">IFERROR(__xludf.dummyfunction("""COMPUTED_VALUE"""),"Completo")</f>
        <v>Completo</v>
      </c>
    </row>
    <row r="14" customFormat="false" ht="14.25" hidden="false" customHeight="false" outlineLevel="0" collapsed="false">
      <c r="A14" s="18" t="str">
        <f aca="false">IFERROR(MID(D14,1,FIND("|",D14)-1)&amp;"-"&amp;C14,"")</f>
        <v>AICI202005-5-2-1</v>
      </c>
      <c r="B14" s="19" t="n">
        <f aca="false">IFERROR(__xludf.dummyfunction("""COMPUTED_VALUE"""),44376)</f>
        <v>44376</v>
      </c>
      <c r="C14" s="0" t="n">
        <f aca="false">IFERROR(__xludf.dummyfunction("""COMPUTED_VALUE"""),1)</f>
        <v>1</v>
      </c>
      <c r="D14" s="0" t="str">
        <f aca="false">IFERROR(__xludf.dummyfunction("""COMPUTED_VALUE"""),"AICI202005-5-2| Incluir dentro del PETI la estructura organizacional de la Oficina de Sistemas de Informacion - TIC (01/10/2020 - 31/12/2020)")</f>
        <v>AICI202005-5-2| Incluir dentro del PETI la estructura organizacional de la Oficina de Sistemas de Informacion - TIC (01/10/2020 - 31/12/2020)</v>
      </c>
      <c r="E14" s="0" t="str">
        <f aca="false">IFERROR(__xludf.dummyfunction("""COMPUTED_VALUE"""),"Se evidencia la inclusión de la estructura organizacional de la oficina de sistemas en el  PETI")</f>
        <v>Se evidencia la inclusión de la estructura organizacional de la oficina de sistemas en el  PETI</v>
      </c>
      <c r="F14" s="0" t="str">
        <f aca="false">IFERROR(__xludf.dummyfunction("""COMPUTED_VALUE"""),"Completo")</f>
        <v>Completo</v>
      </c>
    </row>
    <row r="15" customFormat="false" ht="14.25" hidden="false" customHeight="false" outlineLevel="0" collapsed="false">
      <c r="A15" s="18" t="str">
        <f aca="false">IFERROR(MID(D15,1,FIND("|",D15)-1)&amp;"-"&amp;C15,"")</f>
        <v>AICI202005-6-1-1</v>
      </c>
      <c r="B15" s="19" t="n">
        <f aca="false">IFERROR(__xludf.dummyfunction("""COMPUTED_VALUE"""),44376)</f>
        <v>44376</v>
      </c>
      <c r="C15" s="0" t="n">
        <f aca="false">IFERROR(__xludf.dummyfunction("""COMPUTED_VALUE"""),1)</f>
        <v>1</v>
      </c>
      <c r="D15" s="0" t="str">
        <f aca="false">IFERROR(__xludf.dummyfunction("""COMPUTED_VALUE"""),"AICI202005-6-1| Adoptar una metodologia que aplique para los proyectos de TI de la Subred. (01/10/2020 - 31/12/2020)")</f>
        <v>AICI202005-6-1| Adoptar una metodologia que aplique para los proyectos de TI de la Subred. (01/10/2020 - 31/12/2020)</v>
      </c>
      <c r="E15" s="0" t="str">
        <f aca="false">IFERROR(__xludf.dummyfunction("""COMPUTED_VALUE"""),"Se cuenta con un documento instructivo de metodología de seguimiento a los proyectos adoptada, se cuenta con la herramienta clickup, para el seguimiento de las actividades.")</f>
        <v>Se cuenta con un documento instructivo de metodología de seguimiento a los proyectos adoptada, se cuenta con la herramienta clickup, para el seguimiento de las actividades.</v>
      </c>
      <c r="F15" s="0" t="str">
        <f aca="false">IFERROR(__xludf.dummyfunction("""COMPUTED_VALUE"""),"En desarrollo")</f>
        <v>En desarrollo</v>
      </c>
    </row>
    <row r="16" customFormat="false" ht="14.25" hidden="false" customHeight="false" outlineLevel="0" collapsed="false">
      <c r="A16" s="18" t="str">
        <f aca="false">IFERROR(MID(D16,1,FIND("|",D16)-1)&amp;"-"&amp;C16,"")</f>
        <v>AICI202005-7-1-1</v>
      </c>
      <c r="B16" s="19" t="n">
        <f aca="false">IFERROR(__xludf.dummyfunction("""COMPUTED_VALUE"""),44376)</f>
        <v>44376</v>
      </c>
      <c r="C16" s="0" t="n">
        <f aca="false">IFERROR(__xludf.dummyfunction("""COMPUTED_VALUE"""),1)</f>
        <v>1</v>
      </c>
      <c r="D16" s="0" t="str">
        <f aca="false">IFERROR(__xludf.dummyfunction("""COMPUTED_VALUE"""),"AICI202005-7-1| Establecer y/o adoptar una metodologia para la elaboracion y gestión de proyectos de TI. (01/10/2020 - 31/12/2020)")</f>
        <v>AICI202005-7-1| Establecer y/o adoptar una metodologia para la elaboracion y gestión de proyectos de TI. (01/10/2020 - 31/12/2020)</v>
      </c>
      <c r="E16" s="0" t="str">
        <f aca="false">IFERROR(__xludf.dummyfunction("""COMPUTED_VALUE"""),"Se cuenta con un documento instructivo de metodología de seguimiento a los proyectos adoptada, se cuenta con la herramienta clickup, para el seguimiento de las actividades.")</f>
        <v>Se cuenta con un documento instructivo de metodología de seguimiento a los proyectos adoptada, se cuenta con la herramienta clickup, para el seguimiento de las actividades.</v>
      </c>
      <c r="F16" s="0" t="str">
        <f aca="false">IFERROR(__xludf.dummyfunction("""COMPUTED_VALUE"""),"En desarrollo")</f>
        <v>En desarrollo</v>
      </c>
    </row>
    <row r="17" customFormat="false" ht="14.25" hidden="false" customHeight="false" outlineLevel="0" collapsed="false">
      <c r="A17" s="18" t="str">
        <f aca="false">IFERROR(MID(D17,1,FIND("|",D17)-1)&amp;"-"&amp;C17,"")</f>
        <v>AICI202005-8-1-1</v>
      </c>
      <c r="B17" s="19" t="n">
        <f aca="false">IFERROR(__xludf.dummyfunction("""COMPUTED_VALUE"""),44376)</f>
        <v>44376</v>
      </c>
      <c r="C17" s="0" t="n">
        <f aca="false">IFERROR(__xludf.dummyfunction("""COMPUTED_VALUE"""),1)</f>
        <v>1</v>
      </c>
      <c r="D17" s="0" t="str">
        <f aca="false">IFERROR(__xludf.dummyfunction("""COMPUTED_VALUE"""),"AICI202005-8-1| Elaborar el documento componente de la información, de acuerdo a lo establecido en la GUIA G.INF.07 de MINTIC. (01/10/2020 - 31/12/2020)")</f>
        <v>AICI202005-8-1| Elaborar el documento componente de la información, de acuerdo a lo establecido en la GUIA G.INF.07 de MINTIC. (01/10/2020 - 31/12/2020)</v>
      </c>
      <c r="E17" s="0" t="str">
        <f aca="false">IFERROR(__xludf.dummyfunction("""COMPUTED_VALUE"""),"Se cuenta con un catalogo de información del proceso de gerencia de la información.  Se debe complementar con el catalogo de componentes administrativos y financieros.")</f>
        <v>Se cuenta con un catalogo de información del proceso de gerencia de la información.  Se debe complementar con el catalogo de componentes administrativos y financieros.</v>
      </c>
      <c r="F17" s="0" t="str">
        <f aca="false">IFERROR(__xludf.dummyfunction("""COMPUTED_VALUE"""),"Completo")</f>
        <v>Completo</v>
      </c>
    </row>
    <row r="18" customFormat="false" ht="14.25" hidden="false" customHeight="false" outlineLevel="0" collapsed="false">
      <c r="A18" s="18" t="str">
        <f aca="false">IFERROR(MID(D18,1,FIND("|",D18)-1)&amp;"-"&amp;C18,"")</f>
        <v>AICI202005-9-1-1</v>
      </c>
      <c r="B18" s="19" t="n">
        <f aca="false">IFERROR(__xludf.dummyfunction("""COMPUTED_VALUE"""),44376)</f>
        <v>44376</v>
      </c>
      <c r="C18" s="0" t="n">
        <f aca="false">IFERROR(__xludf.dummyfunction("""COMPUTED_VALUE"""),1)</f>
        <v>1</v>
      </c>
      <c r="D18" s="0" t="str">
        <f aca="false">IFERROR(__xludf.dummyfunction("""COMPUTED_VALUE"""),"AICI202005-9-1| Elaborar el documento componente de la información, de acuerdo a lo establecido en la GUIA G.INF.07 de MINTIC. (01/10/2020 - 31/12/2020)")</f>
        <v>AICI202005-9-1| Elaborar el documento componente de la información, de acuerdo a lo establecido en la GUIA G.INF.07 de MINTIC. (01/10/2020 - 31/12/2020)</v>
      </c>
      <c r="E18" s="0" t="str">
        <f aca="false">IFERROR(__xludf.dummyfunction("""COMPUTED_VALUE"""),"Se cuenta con un catalogo de información del proceso de gerencia de la información.  Se debe complementar con el catalogo de componentes administrativos y financieros.")</f>
        <v>Se cuenta con un catalogo de información del proceso de gerencia de la información.  Se debe complementar con el catalogo de componentes administrativos y financieros.</v>
      </c>
      <c r="F18" s="0" t="str">
        <f aca="false">IFERROR(__xludf.dummyfunction("""COMPUTED_VALUE"""),"Completo")</f>
        <v>Completo</v>
      </c>
    </row>
    <row r="19" customFormat="false" ht="14.25" hidden="false" customHeight="false" outlineLevel="0" collapsed="false">
      <c r="A19" s="18" t="str">
        <f aca="false">IFERROR(MID(D19,1,FIND("|",D19)-1)&amp;"-"&amp;C19,"")</f>
        <v>AICI202005-10-1-1</v>
      </c>
      <c r="B19" s="19" t="n">
        <f aca="false">IFERROR(__xludf.dummyfunction("""COMPUTED_VALUE"""),44376)</f>
        <v>44376</v>
      </c>
      <c r="C19" s="0" t="n">
        <f aca="false">IFERROR(__xludf.dummyfunction("""COMPUTED_VALUE"""),1)</f>
        <v>1</v>
      </c>
      <c r="D19" s="0" t="str">
        <f aca="false">IFERROR(__xludf.dummyfunction("""COMPUTED_VALUE"""),"AICI202005-10-1| Elaborar el catalogo de sistemas de informaciòn de la subred, de acuerdo a las guias de MINTIC. (01/10/2020 - 31/12/2020)")</f>
        <v>AICI202005-10-1| Elaborar el catalogo de sistemas de informaciòn de la subred, de acuerdo a las guias de MINTIC. (01/10/2020 - 31/12/2020)</v>
      </c>
      <c r="E19" s="0" t="str">
        <f aca="false">IFERROR(__xludf.dummyfunction("""COMPUTED_VALUE"""),"Se cuenta con catalogo de sistemas de información. Se recomienda terminar el diligenciamiento del documento para el cargue en la herramienta de verificación de la política de gobierno digital.")</f>
        <v>Se cuenta con catalogo de sistemas de información. Se recomienda terminar el diligenciamiento del documento para el cargue en la herramienta de verificación de la política de gobierno digital.</v>
      </c>
      <c r="F19" s="0" t="str">
        <f aca="false">IFERROR(__xludf.dummyfunction("""COMPUTED_VALUE"""),"Completo")</f>
        <v>Completo</v>
      </c>
    </row>
    <row r="20" customFormat="false" ht="14.25" hidden="false" customHeight="false" outlineLevel="0" collapsed="false">
      <c r="A20" s="18" t="str">
        <f aca="false">IFERROR(MID(D20,1,FIND("|",D20)-1)&amp;"-"&amp;C20,"")</f>
        <v>AICI202005-11-1-1</v>
      </c>
      <c r="B20" s="19" t="n">
        <f aca="false">IFERROR(__xludf.dummyfunction("""COMPUTED_VALUE"""),44376)</f>
        <v>44376</v>
      </c>
      <c r="C20" s="0" t="n">
        <f aca="false">IFERROR(__xludf.dummyfunction("""COMPUTED_VALUE"""),1)</f>
        <v>1</v>
      </c>
      <c r="D20" s="0" t="str">
        <f aca="false">IFERROR(__xludf.dummyfunction("""COMPUTED_VALUE"""),"AICI202005-11-1| Revisar y normalizar el documento de Acuerdos de Niveles de Servicios para proveedores internos y externos, donde se establezcan indicadores para su seguimiento (01/10/2020 - 31/12/2020)")</f>
        <v>AICI202005-11-1| Revisar y normalizar el documento de Acuerdos de Niveles de Servicios para proveedores internos y externos, donde se establezcan indicadores para su seguimiento (01/10/2020 - 31/12/2020)</v>
      </c>
      <c r="E20" s="0" t="str">
        <f aca="false">IFERROR(__xludf.dummyfunction("""COMPUTED_VALUE"""),"Se cuenta con el documento INTRUCTIVO ANS para los servicios y/o incidencias de helpdesk.  Se recomienda revisar los indicadores y hacer seguimiento periódico de los mismos de acuerdo con la hoja de vida del indicador. ")</f>
        <v>Se cuenta con el documento INTRUCTIVO ANS para los servicios y/o incidencias de helpdesk.  Se recomienda revisar los indicadores y hacer seguimiento periódico de los mismos de acuerdo con la hoja de vida del indicador. </v>
      </c>
      <c r="F20" s="0" t="str">
        <f aca="false">IFERROR(__xludf.dummyfunction("""COMPUTED_VALUE"""),"Completo")</f>
        <v>Completo</v>
      </c>
    </row>
    <row r="21" customFormat="false" ht="14.25" hidden="false" customHeight="false" outlineLevel="0" collapsed="false">
      <c r="A21" s="18" t="str">
        <f aca="false">IFERROR(MID(D21,1,FIND("|",D21)-1)&amp;"-"&amp;C21,"")</f>
        <v>AICI202005-12-1-1</v>
      </c>
      <c r="B21" s="19" t="n">
        <f aca="false">IFERROR(__xludf.dummyfunction("""COMPUTED_VALUE"""),44376)</f>
        <v>44376</v>
      </c>
      <c r="C21" s="0" t="n">
        <f aca="false">IFERROR(__xludf.dummyfunction("""COMPUTED_VALUE"""),1)</f>
        <v>1</v>
      </c>
      <c r="D21" s="0" t="str">
        <f aca="false">IFERROR(__xludf.dummyfunction("""COMPUTED_VALUE"""),"AICI202005-12-1| Documentar el ciclo de vida de los sistemas de información, en las fases que corresponda. (01/10/2020 - 31/12/2020)")</f>
        <v>AICI202005-12-1| Documentar el ciclo de vida de los sistemas de información, en las fases que corresponda. (01/10/2020 - 31/12/2020)</v>
      </c>
      <c r="E21" s="0" t="str">
        <f aca="false">IFERROR(__xludf.dummyfunction("""COMPUTED_VALUE"""),"No se cuenta con la documentación.")</f>
        <v>No se cuenta con la documentación.</v>
      </c>
      <c r="F21" s="0" t="str">
        <f aca="false">IFERROR(__xludf.dummyfunction("""COMPUTED_VALUE"""),"Atrasado")</f>
        <v>Atrasado</v>
      </c>
    </row>
    <row r="22" customFormat="false" ht="14.25" hidden="false" customHeight="false" outlineLevel="0" collapsed="false">
      <c r="A22" s="18" t="str">
        <f aca="false">IFERROR(MID(D22,1,FIND("|",D22)-1)&amp;"-"&amp;C22,"")</f>
        <v>AICI202005-13-1-1</v>
      </c>
      <c r="B22" s="19" t="n">
        <f aca="false">IFERROR(__xludf.dummyfunction("""COMPUTED_VALUE"""),44376)</f>
        <v>44376</v>
      </c>
      <c r="C22" s="0" t="n">
        <f aca="false">IFERROR(__xludf.dummyfunction("""COMPUTED_VALUE"""),1)</f>
        <v>1</v>
      </c>
      <c r="D22" s="0" t="str">
        <f aca="false">IFERROR(__xludf.dummyfunction("""COMPUTED_VALUE"""),"AICI202005-13-1| Actualizar el plan de mantenimiento de equipos de computo (01/10/2020 - 31/12/2020)")</f>
        <v>AICI202005-13-1| Actualizar el plan de mantenimiento de equipos de computo (01/10/2020 - 31/12/2020)</v>
      </c>
      <c r="E22" s="0" t="str">
        <f aca="false">IFERROR(__xludf.dummyfunction("""COMPUTED_VALUE"""),"Se presenta documento preliminar del plan de mantenimiento de infrestructura de TI.")</f>
        <v>Se presenta documento preliminar del plan de mantenimiento de infrestructura de TI.</v>
      </c>
      <c r="F22" s="0" t="str">
        <f aca="false">IFERROR(__xludf.dummyfunction("""COMPUTED_VALUE"""),"En desarrollo")</f>
        <v>En desarrollo</v>
      </c>
    </row>
    <row r="23" customFormat="false" ht="14.25" hidden="false" customHeight="false" outlineLevel="0" collapsed="false">
      <c r="A23" s="18" t="str">
        <f aca="false">IFERROR(MID(D23,1,FIND("|",D23)-1)&amp;"-"&amp;C23,"")</f>
        <v>AICI202005-14-1-1</v>
      </c>
      <c r="B23" s="19" t="n">
        <f aca="false">IFERROR(__xludf.dummyfunction("""COMPUTED_VALUE"""),44376)</f>
        <v>44376</v>
      </c>
      <c r="C23" s="0" t="n">
        <f aca="false">IFERROR(__xludf.dummyfunction("""COMPUTED_VALUE"""),1)</f>
        <v>1</v>
      </c>
      <c r="D23" s="0" t="str">
        <f aca="false">IFERROR(__xludf.dummyfunction("""COMPUTED_VALUE"""),"AICI202005-14-1| Revisar y normalizar el documento de Acuerdos de Niveles de Servicios para proveedores internos y externos, donde se establezcan indicadores para su seguimiento (01/10/2020 - 31/12/2020)")</f>
        <v>AICI202005-14-1| Revisar y normalizar el documento de Acuerdos de Niveles de Servicios para proveedores internos y externos, donde se establezcan indicadores para su seguimiento (01/10/2020 - 31/12/2020)</v>
      </c>
      <c r="E23" s="0" t="str">
        <f aca="false">IFERROR(__xludf.dummyfunction("""COMPUTED_VALUE"""),"Se cuenta con documento de ANS para el proveedor Servinte.  No se evidencia documento para los demás proveedores.")</f>
        <v>Se cuenta con documento de ANS para el proveedor Servinte.  No se evidencia documento para los demás proveedores.</v>
      </c>
      <c r="F23" s="0" t="str">
        <f aca="false">IFERROR(__xludf.dummyfunction("""COMPUTED_VALUE"""),"Atrasado")</f>
        <v>Atrasado</v>
      </c>
    </row>
    <row r="24" customFormat="false" ht="14.25" hidden="false" customHeight="false" outlineLevel="0" collapsed="false">
      <c r="A24" s="18" t="str">
        <f aca="false">IFERROR(MID(D24,1,FIND("|",D24)-1)&amp;"-"&amp;C24,"")</f>
        <v>AICI202005-15-1-1</v>
      </c>
      <c r="B24" s="19" t="n">
        <f aca="false">IFERROR(__xludf.dummyfunction("""COMPUTED_VALUE"""),44376)</f>
        <v>44376</v>
      </c>
      <c r="C24" s="0" t="n">
        <f aca="false">IFERROR(__xludf.dummyfunction("""COMPUTED_VALUE"""),1)</f>
        <v>1</v>
      </c>
      <c r="D24" s="0" t="str">
        <f aca="false">IFERROR(__xludf.dummyfunction("""COMPUTED_VALUE"""),"AICI202005-15-1| Documentar el plan de continuidad de los servivios tecnologicos. (01/10/2020 - 31/12/2020)")</f>
        <v>AICI202005-15-1| Documentar el plan de continuidad de los servivios tecnologicos. (01/10/2020 - 31/12/2020)</v>
      </c>
      <c r="E24" s="0" t="str">
        <f aca="false">IFERROR(__xludf.dummyfunction("""COMPUTED_VALUE"""),"Se cuenta con un plan de continuidad desactualizado, versión 2018. ")</f>
        <v>Se cuenta con un plan de continuidad desactualizado, versión 2018. </v>
      </c>
      <c r="F24" s="0" t="str">
        <f aca="false">IFERROR(__xludf.dummyfunction("""COMPUTED_VALUE"""),"Atrasado")</f>
        <v>Atrasado</v>
      </c>
    </row>
    <row r="25" customFormat="false" ht="14.25" hidden="false" customHeight="false" outlineLevel="0" collapsed="false">
      <c r="A25" s="18" t="str">
        <f aca="false">IFERROR(MID(D25,1,FIND("|",D25)-1)&amp;"-"&amp;C25,"")</f>
        <v>AICI202005-17-1-1</v>
      </c>
      <c r="B25" s="19" t="n">
        <f aca="false">IFERROR(__xludf.dummyfunction("""COMPUTED_VALUE"""),44376)</f>
        <v>44376</v>
      </c>
      <c r="C25" s="0" t="n">
        <f aca="false">IFERROR(__xludf.dummyfunction("""COMPUTED_VALUE"""),1)</f>
        <v>1</v>
      </c>
      <c r="D25" s="0" t="str">
        <f aca="false">IFERROR(__xludf.dummyfunction("""COMPUTED_VALUE"""),"AICI202005-17-1| Revisar y actualizar el documentos de uso y apropiaciòn de las TIC con el fin de establecer indicadores medibles para determinar la efectividad de los mismos. (01/10/2020 - 31/12/2020)")</f>
        <v>AICI202005-17-1| Revisar y actualizar el documentos de uso y apropiaciòn de las TIC con el fin de establecer indicadores medibles para determinar la efectividad de los mismos. (01/10/2020 - 31/12/2020)</v>
      </c>
      <c r="E25" s="0" t="str">
        <f aca="false">IFERROR(__xludf.dummyfunction("""COMPUTED_VALUE"""),"No se cuenta con el documento")</f>
        <v>No se cuenta con el documento</v>
      </c>
      <c r="F25" s="0" t="str">
        <f aca="false">IFERROR(__xludf.dummyfunction("""COMPUTED_VALUE"""),"Atrasado")</f>
        <v>Atrasado</v>
      </c>
    </row>
    <row r="26" customFormat="false" ht="14.25" hidden="false" customHeight="false" outlineLevel="0" collapsed="false">
      <c r="A26" s="18" t="str">
        <f aca="false">IFERROR(MID(D26,1,FIND("|",D26)-1)&amp;"-"&amp;C26,"")</f>
        <v>AICI202005-18-1-1</v>
      </c>
      <c r="B26" s="19" t="n">
        <f aca="false">IFERROR(__xludf.dummyfunction("""COMPUTED_VALUE"""),44376)</f>
        <v>44376</v>
      </c>
      <c r="C26" s="0" t="n">
        <f aca="false">IFERROR(__xludf.dummyfunction("""COMPUTED_VALUE"""),1)</f>
        <v>1</v>
      </c>
      <c r="D26" s="0" t="str">
        <f aca="false">IFERROR(__xludf.dummyfunction("""COMPUTED_VALUE"""),"AICI202005-18-1| Realizar el despliegue de las polìticas de seguridad y privacidad de la información de acuerdo al plan de comunicaciones del area y evaluación de las mismas. (01/10/2020 - 31/12/2020)")</f>
        <v>AICI202005-18-1| Realizar el despliegue de las polìticas de seguridad y privacidad de la información de acuerdo al plan de comunicaciones del area y evaluación de las mismas. (01/10/2020 - 31/12/2020)</v>
      </c>
      <c r="E26" s="0" t="str">
        <f aca="false">IFERROR(__xludf.dummyfunction("""COMPUTED_VALUE"""),"Se cuenta con un documento en versión preliminar del manual de políticas, con relación al despliegue de las políticas este se encuentra en el Plan de comunicaciones del plan de seguridad de la información.")</f>
        <v>Se cuenta con un documento en versión preliminar del manual de políticas, con relación al despliegue de las políticas este se encuentra en el Plan de comunicaciones del plan de seguridad de la información.</v>
      </c>
      <c r="F26" s="0" t="str">
        <f aca="false">IFERROR(__xludf.dummyfunction("""COMPUTED_VALUE"""),"Completo")</f>
        <v>Completo</v>
      </c>
    </row>
    <row r="27" customFormat="false" ht="14.25" hidden="false" customHeight="false" outlineLevel="0" collapsed="false">
      <c r="A27" s="18" t="str">
        <f aca="false">IFERROR(MID(D27,1,FIND("|",D27)-1)&amp;"-"&amp;C27,"")</f>
        <v>AICI202005-16-1-1</v>
      </c>
      <c r="B27" s="19" t="n">
        <f aca="false">IFERROR(__xludf.dummyfunction("""COMPUTED_VALUE"""),44376)</f>
        <v>44376</v>
      </c>
      <c r="C27" s="0" t="n">
        <f aca="false">IFERROR(__xludf.dummyfunction("""COMPUTED_VALUE"""),1)</f>
        <v>1</v>
      </c>
      <c r="D27" s="0" t="str">
        <f aca="false">IFERROR(__xludf.dummyfunction("""COMPUTED_VALUE"""),"AICI202005-16-1| Elaborar el plan para la implementación de IPV6, de acuerdo a los intrumentos y recomendaciones dadas por MINTIC. (01/10/2020 - 31/12/2020)")</f>
        <v>AICI202005-16-1| Elaborar el plan para la implementación de IPV6, de acuerdo a los intrumentos y recomendaciones dadas por MINTIC. (01/10/2020 - 31/12/2020)</v>
      </c>
      <c r="E27" s="0" t="str">
        <f aca="false">IFERROR(__xludf.dummyfunction("""COMPUTED_VALUE"""),"Se cuenta con el documento del plan de trabajo de transición a IPV6 - 2021, adicionalmente se incorpora el proyecto IPV6 en PETIC.")</f>
        <v>Se cuenta con el documento del plan de trabajo de transición a IPV6 - 2021, adicionalmente se incorpora el proyecto IPV6 en PETIC.</v>
      </c>
      <c r="F27" s="0" t="str">
        <f aca="false">IFERROR(__xludf.dummyfunction("""COMPUTED_VALUE"""),"Completo")</f>
        <v>Completo</v>
      </c>
    </row>
    <row r="28" customFormat="false" ht="14.25" hidden="false" customHeight="false" outlineLevel="0" collapsed="false">
      <c r="A28" s="18" t="str">
        <f aca="false">IFERROR(MID(D28,1,FIND("|",D28)-1)&amp;"-"&amp;C28,"")</f>
        <v>AICI202005-19-1-1</v>
      </c>
      <c r="B28" s="19" t="n">
        <f aca="false">IFERROR(__xludf.dummyfunction("""COMPUTED_VALUE"""),44379)</f>
        <v>44379</v>
      </c>
      <c r="C28" s="0" t="n">
        <f aca="false">IFERROR(__xludf.dummyfunction("""COMPUTED_VALUE"""),1)</f>
        <v>1</v>
      </c>
      <c r="D28" s="0" t="str">
        <f aca="false">IFERROR(__xludf.dummyfunction("""COMPUTED_VALUE"""),"AICI202005-19-1| Documentar los procedimientos de seguridad de la informacion de acuerdo a las recomedaciones y a la guia de MINTIC (01/10/2020 - 31/12/2020)")</f>
        <v>AICI202005-19-1| Documentar los procedimientos de seguridad de la informacion de acuerdo a las recomedaciones y a la guia de MINTIC (01/10/2020 - 31/12/2020)</v>
      </c>
      <c r="E28" s="0" t="str">
        <f aca="false">IFERROR(__xludf.dummyfunction("""COMPUTED_VALUE"""),"No se cuenta con documentos de procedimientos de seguridad de la información ")</f>
        <v>No se cuenta con documentos de procedimientos de seguridad de la información </v>
      </c>
      <c r="F28" s="0" t="str">
        <f aca="false">IFERROR(__xludf.dummyfunction("""COMPUTED_VALUE"""),"Atrasado")</f>
        <v>Atrasado</v>
      </c>
    </row>
    <row r="29" customFormat="false" ht="14.25" hidden="false" customHeight="false" outlineLevel="0" collapsed="false">
      <c r="A29" s="18" t="str">
        <f aca="false">IFERROR(MID(D29,1,FIND("|",D29)-1)&amp;"-"&amp;C29,"")</f>
        <v>AICI202005-20-1-1</v>
      </c>
      <c r="B29" s="19" t="n">
        <f aca="false">IFERROR(__xludf.dummyfunction("""COMPUTED_VALUE"""),44379)</f>
        <v>44379</v>
      </c>
      <c r="C29" s="0" t="n">
        <f aca="false">IFERROR(__xludf.dummyfunction("""COMPUTED_VALUE"""),1)</f>
        <v>1</v>
      </c>
      <c r="D29" s="0" t="str">
        <f aca="false">IFERROR(__xludf.dummyfunction("""COMPUTED_VALUE"""),"AICI202005-20-1| Definir el inventario de los activos de seguridad de la informacion (01/10/2020 - 31/12/2020)")</f>
        <v>AICI202005-20-1| Definir el inventario de los activos de seguridad de la informacion (01/10/2020 - 31/12/2020)</v>
      </c>
      <c r="E29" s="0" t="str">
        <f aca="false">IFERROR(__xludf.dummyfunction("""COMPUTED_VALUE"""),"No se cuenta con el inventario de activos de seguridad de la información.")</f>
        <v>No se cuenta con el inventario de activos de seguridad de la información.</v>
      </c>
      <c r="F29" s="0" t="str">
        <f aca="false">IFERROR(__xludf.dummyfunction("""COMPUTED_VALUE"""),"Atrasado")</f>
        <v>Atrasado</v>
      </c>
    </row>
    <row r="30" customFormat="false" ht="14.25" hidden="false" customHeight="false" outlineLevel="0" collapsed="false">
      <c r="A30" s="18" t="str">
        <f aca="false">IFERROR(MID(D30,1,FIND("|",D30)-1)&amp;"-"&amp;C30,"")</f>
        <v>AICI202005-21-1-1</v>
      </c>
      <c r="B30" s="19" t="n">
        <f aca="false">IFERROR(__xludf.dummyfunction("""COMPUTED_VALUE"""),44379)</f>
        <v>44379</v>
      </c>
      <c r="C30" s="0" t="n">
        <f aca="false">IFERROR(__xludf.dummyfunction("""COMPUTED_VALUE"""),1)</f>
        <v>1</v>
      </c>
      <c r="D30" s="0" t="str">
        <f aca="false">IFERROR(__xludf.dummyfunction("""COMPUTED_VALUE"""),"AICI202005-21-1| Realizar la medición de amenazas y vulnerabilidades de los riesgos de seguridad de la información aplicando la guia de gestión de seguridad y privacidad de la información. (01/10/2020 - 31/12/2020)")</f>
        <v>AICI202005-21-1| Realizar la medición de amenazas y vulnerabilidades de los riesgos de seguridad de la información aplicando la guia de gestión de seguridad y privacidad de la información. (01/10/2020 - 31/12/2020)</v>
      </c>
      <c r="E30" s="0" t="str">
        <f aca="false">IFERROR(__xludf.dummyfunction("""COMPUTED_VALUE"""),"Se cuenta con matriz de riesgos de seguridad de la información de debe aplicar la guía de gestión de riesgos de seguridad y privacidad de la información y el listado de amenazas y vulnerabilidades en ISO 27001")</f>
        <v>Se cuenta con matriz de riesgos de seguridad de la información de debe aplicar la guía de gestión de riesgos de seguridad y privacidad de la información y el listado de amenazas y vulnerabilidades en ISO 27001</v>
      </c>
      <c r="F30" s="0" t="str">
        <f aca="false">IFERROR(__xludf.dummyfunction("""COMPUTED_VALUE"""),"Atrasado")</f>
        <v>Atrasado</v>
      </c>
    </row>
    <row r="31" customFormat="false" ht="14.25" hidden="false" customHeight="false" outlineLevel="0" collapsed="false">
      <c r="A31" s="18" t="str">
        <f aca="false">IFERROR(MID(D31,1,FIND("|",D31)-1)&amp;"-"&amp;C31,"")</f>
        <v>AICI202005-22-1-1</v>
      </c>
      <c r="B31" s="19" t="n">
        <f aca="false">IFERROR(__xludf.dummyfunction("""COMPUTED_VALUE"""),44379)</f>
        <v>44379</v>
      </c>
      <c r="C31" s="0" t="n">
        <f aca="false">IFERROR(__xludf.dummyfunction("""COMPUTED_VALUE"""),1)</f>
        <v>1</v>
      </c>
      <c r="D31" s="0" t="str">
        <f aca="false">IFERROR(__xludf.dummyfunction("""COMPUTED_VALUE"""),"AICI202005-22-1| Realizar campañas de sensibilización de acuerdo al plan de comunicaciones de la oficina de sistemas de la Subred Norte. (01/10/2020 - 31/12/2020)")</f>
        <v>AICI202005-22-1| Realizar campañas de sensibilización de acuerdo al plan de comunicaciones de la oficina de sistemas de la Subred Norte. (01/10/2020 - 31/12/2020)</v>
      </c>
      <c r="E31" s="0" t="str">
        <f aca="false">IFERROR(__xludf.dummyfunction("""COMPUTED_VALUE"""),"Se elaboran y despliegan piezas comunicativas relacionas con la seguridad y privacidad de la información.  No se evidencia el plan de comunicaciones.")</f>
        <v>Se elaboran y despliegan piezas comunicativas relacionas con la seguridad y privacidad de la información.  No se evidencia el plan de comunicaciones.</v>
      </c>
      <c r="F31" s="0" t="str">
        <f aca="false">IFERROR(__xludf.dummyfunction("""COMPUTED_VALUE"""),"En desarrollo")</f>
        <v>En desarrollo</v>
      </c>
    </row>
    <row r="32" customFormat="false" ht="14.25" hidden="false" customHeight="false" outlineLevel="0" collapsed="false">
      <c r="A32" s="18" t="str">
        <f aca="false">IFERROR(MID(D32,1,FIND("|",D32)-1)&amp;"-"&amp;C32,"")</f>
        <v>AICI202005-23-1-1</v>
      </c>
      <c r="B32" s="19" t="n">
        <f aca="false">IFERROR(__xludf.dummyfunction("""COMPUTED_VALUE"""),44379)</f>
        <v>44379</v>
      </c>
      <c r="C32" s="0" t="n">
        <f aca="false">IFERROR(__xludf.dummyfunction("""COMPUTED_VALUE"""),1)</f>
        <v>1</v>
      </c>
      <c r="D32" s="0" t="str">
        <f aca="false">IFERROR(__xludf.dummyfunction("""COMPUTED_VALUE"""),"AICI202005-23-1| Elaborar el plan de control operacional de la de seguridad de la información (01/10/2020 - 31/12/2020)")</f>
        <v>AICI202005-23-1| Elaborar el plan de control operacional de la de seguridad de la información (01/10/2020 - 31/12/2020)</v>
      </c>
      <c r="E32" s="0" t="str">
        <f aca="false">IFERROR(__xludf.dummyfunction("""COMPUTED_VALUE"""),"Se cuenta con un documento preliminar del plan de control operacional de la seguridad de la información.")</f>
        <v>Se cuenta con un documento preliminar del plan de control operacional de la seguridad de la información.</v>
      </c>
      <c r="F32" s="0" t="str">
        <f aca="false">IFERROR(__xludf.dummyfunction("""COMPUTED_VALUE"""),"En desarrollo")</f>
        <v>En desarrollo</v>
      </c>
    </row>
    <row r="33" customFormat="false" ht="14.25" hidden="false" customHeight="false" outlineLevel="0" collapsed="false">
      <c r="A33" s="18" t="str">
        <f aca="false">IFERROR(MID(D33,1,FIND("|",D33)-1)&amp;"-"&amp;C33,"")</f>
        <v>AICI202005-24-1-1</v>
      </c>
      <c r="B33" s="19" t="n">
        <f aca="false">IFERROR(__xludf.dummyfunction("""COMPUTED_VALUE"""),44379)</f>
        <v>44379</v>
      </c>
      <c r="C33" s="0" t="n">
        <f aca="false">IFERROR(__xludf.dummyfunction("""COMPUTED_VALUE"""),1)</f>
        <v>1</v>
      </c>
      <c r="D33" s="0" t="str">
        <f aca="false">IFERROR(__xludf.dummyfunction("""COMPUTED_VALUE"""),"AICI202005-24-1| Establecer indicadores para el seguimiento de la gestión de seguridad de la informacion. (01/10/2020 - 31/12/2020)")</f>
        <v>AICI202005-24-1| Establecer indicadores para el seguimiento de la gestión de seguridad de la informacion. (01/10/2020 - 31/12/2020)</v>
      </c>
      <c r="E33" s="0" t="str">
        <f aca="false">IFERROR(__xludf.dummyfunction("""COMPUTED_VALUE"""),"Se cuenta con un documento con las hojas de vida de los indicadores de seguimiento al despliegue del plan de seguridad.  ")</f>
        <v>Se cuenta con un documento con las hojas de vida de los indicadores de seguimiento al despliegue del plan de seguridad.  </v>
      </c>
      <c r="F33" s="0" t="str">
        <f aca="false">IFERROR(__xludf.dummyfunction("""COMPUTED_VALUE"""),"En desarrollo")</f>
        <v>En desarrollo</v>
      </c>
    </row>
    <row r="34" customFormat="false" ht="14.25" hidden="false" customHeight="false" outlineLevel="0" collapsed="false">
      <c r="A34" s="18" t="str">
        <f aca="false">IFERROR(MID(D34,1,FIND("|",D34)-1)&amp;"-"&amp;C34,"")</f>
        <v>AICI202005-25-1-1</v>
      </c>
      <c r="B34" s="19" t="n">
        <f aca="false">IFERROR(__xludf.dummyfunction("""COMPUTED_VALUE"""),44379)</f>
        <v>44379</v>
      </c>
      <c r="C34" s="0" t="n">
        <f aca="false">IFERROR(__xludf.dummyfunction("""COMPUTED_VALUE"""),1)</f>
        <v>1</v>
      </c>
      <c r="D34" s="0" t="str">
        <f aca="false">IFERROR(__xludf.dummyfunction("""COMPUTED_VALUE"""),"AICI202005-25-1| Establecer indicadores para el seguimiento de la gestión de seguridad de la informacion. (01/10/2020 - 31/12/2020)")</f>
        <v>AICI202005-25-1| Establecer indicadores para el seguimiento de la gestión de seguridad de la informacion. (01/10/2020 - 31/12/2020)</v>
      </c>
      <c r="E34" s="0" t="str">
        <f aca="false">IFERROR(__xludf.dummyfunction("""COMPUTED_VALUE"""),"Se cuenta con un documento con las hojas de vida de los indicadores de seguimiento al despliegue del plan de seguridad.  ")</f>
        <v>Se cuenta con un documento con las hojas de vida de los indicadores de seguimiento al despliegue del plan de seguridad.  </v>
      </c>
      <c r="F34" s="0" t="str">
        <f aca="false">IFERROR(__xludf.dummyfunction("""COMPUTED_VALUE"""),"En desarrollo")</f>
        <v>En desarrollo</v>
      </c>
    </row>
    <row r="35" customFormat="false" ht="14.25" hidden="false" customHeight="false" outlineLevel="0" collapsed="false">
      <c r="A35" s="18" t="str">
        <f aca="false">IFERROR(MID(D35,1,FIND("|",D35)-1)&amp;"-"&amp;C35,"")</f>
        <v>AICI202005-26-1-1</v>
      </c>
      <c r="B35" s="19" t="n">
        <f aca="false">IFERROR(__xludf.dummyfunction("""COMPUTED_VALUE"""),44379)</f>
        <v>44379</v>
      </c>
      <c r="C35" s="0" t="n">
        <f aca="false">IFERROR(__xludf.dummyfunction("""COMPUTED_VALUE"""),1)</f>
        <v>1</v>
      </c>
      <c r="D35" s="0" t="str">
        <f aca="false">IFERROR(__xludf.dummyfunction("""COMPUTED_VALUE"""),"AICI202005-26-1| Establecer plan de seguimiento y evaluación a la implementación de seguridad de la información, de acuerdo a las recomendaciones impartidas por la oficina de control interno. (01/10/2020 - 31/12/2020)")</f>
        <v>AICI202005-26-1| Establecer plan de seguimiento y evaluación a la implementación de seguridad de la información, de acuerdo a las recomendaciones impartidas por la oficina de control interno. (01/10/2020 - 31/12/2020)</v>
      </c>
      <c r="E35" s="0" t="str">
        <f aca="false">IFERROR(__xludf.dummyfunction("""COMPUTED_VALUE"""),"El presente plan es un ejercicio de autocontrol.")</f>
        <v>El presente plan es un ejercicio de autocontrol.</v>
      </c>
      <c r="F35" s="0" t="str">
        <f aca="false">IFERROR(__xludf.dummyfunction("""COMPUTED_VALUE"""),"En desarrollo")</f>
        <v>En desarrollo</v>
      </c>
    </row>
    <row r="36" customFormat="false" ht="14.25" hidden="false" customHeight="false" outlineLevel="0" collapsed="false">
      <c r="A36" s="18" t="str">
        <f aca="false">IFERROR(MID(D36,1,FIND("|",D36)-1)&amp;"-"&amp;C36,"")</f>
        <v>AICI202005-27-1-1</v>
      </c>
      <c r="B36" s="19" t="n">
        <f aca="false">IFERROR(__xludf.dummyfunction("""COMPUTED_VALUE"""),44379)</f>
        <v>44379</v>
      </c>
      <c r="C36" s="0" t="n">
        <f aca="false">IFERROR(__xludf.dummyfunction("""COMPUTED_VALUE"""),1)</f>
        <v>1</v>
      </c>
      <c r="D36" s="0" t="str">
        <f aca="false">IFERROR(__xludf.dummyfunction("""COMPUTED_VALUE"""),"AICI202005-27-1| Establecer un documento que determine como es el proceso de la generaciòn de datos abiertos en la subred y los responsables. (01/10/2020 - 31/12/2020)")</f>
        <v>AICI202005-27-1| Establecer un documento que determine como es el proceso de la generaciòn de datos abiertos en la subred y los responsables. (01/10/2020 - 31/12/2020)</v>
      </c>
      <c r="E36" s="0" t="str">
        <f aca="false">IFERROR(__xludf.dummyfunction("""COMPUTED_VALUE"""),"Se cuenta con el documento con el proceso de generación y publicación de datos abiertos.")</f>
        <v>Se cuenta con el documento con el proceso de generación y publicación de datos abiertos.</v>
      </c>
      <c r="F36" s="0" t="str">
        <f aca="false">IFERROR(__xludf.dummyfunction("""COMPUTED_VALUE"""),"Completo")</f>
        <v>Completo</v>
      </c>
    </row>
    <row r="37" customFormat="false" ht="14.25" hidden="false" customHeight="false" outlineLevel="0" collapsed="false">
      <c r="A37" s="18" t="str">
        <f aca="false">IFERROR(MID(D37,1,FIND("|",D37)-1)&amp;"-"&amp;C37,"")</f>
        <v>AICI202005-28-1-1</v>
      </c>
      <c r="B37" s="19" t="n">
        <f aca="false">IFERROR(__xludf.dummyfunction("""COMPUTED_VALUE"""),44379)</f>
        <v>44379</v>
      </c>
      <c r="C37" s="0" t="n">
        <f aca="false">IFERROR(__xludf.dummyfunction("""COMPUTED_VALUE"""),1)</f>
        <v>1</v>
      </c>
      <c r="D37" s="0" t="str">
        <f aca="false">IFERROR(__xludf.dummyfunction("""COMPUTED_VALUE"""),"AICI202005-28-1| Realizar seguimiento periodico a las descargas realizadas del portal de datos abiertos de la subred. (01/10/2020 - 31/12/2020)")</f>
        <v>AICI202005-28-1| Realizar seguimiento periodico a las descargas realizadas del portal de datos abiertos de la subred. (01/10/2020 - 31/12/2020)</v>
      </c>
      <c r="E37" s="0" t="str">
        <f aca="false">IFERROR(__xludf.dummyfunction("""COMPUTED_VALUE"""),"Se evidencia la publicación de 21 dataset de datos abiertos y el seguimiento a descargas.")</f>
        <v>Se evidencia la publicación de 21 dataset de datos abiertos y el seguimiento a descargas.</v>
      </c>
      <c r="F37" s="0" t="str">
        <f aca="false">IFERROR(__xludf.dummyfunction("""COMPUTED_VALUE"""),"Completo")</f>
        <v>Completo</v>
      </c>
    </row>
    <row r="38" customFormat="false" ht="14.25" hidden="false" customHeight="false" outlineLevel="0" collapsed="false">
      <c r="A38" s="18" t="str">
        <f aca="false">IFERROR(MID(D38,1,FIND("|",D38)-1)&amp;"-"&amp;C38,"")</f>
        <v>AICI202005-29-1-1</v>
      </c>
      <c r="B38" s="19" t="n">
        <f aca="false">IFERROR(__xludf.dummyfunction("""COMPUTED_VALUE"""),44379)</f>
        <v>44379</v>
      </c>
      <c r="C38" s="0" t="n">
        <f aca="false">IFERROR(__xludf.dummyfunction("""COMPUTED_VALUE"""),1)</f>
        <v>1</v>
      </c>
      <c r="D38" s="0" t="str">
        <f aca="false">IFERROR(__xludf.dummyfunction("""COMPUTED_VALUE"""),"AICI202005-29-1| Establecer reuniòn con Atenciòn al ciudadano y areas implicadas en cada uno de los procesos de tramites y procedimientos administrativos, para evaluar la posibilidad de semiatomatizar o automatizar (01/10/2020 - 31/12/2020)")</f>
        <v>AICI202005-29-1| Establecer reuniòn con Atenciòn al ciudadano y areas implicadas en cada uno de los procesos de tramites y procedimientos administrativos, para evaluar la posibilidad de semiatomatizar o automatizar (01/10/2020 - 31/12/2020)</v>
      </c>
      <c r="E38" s="0" t="str">
        <f aca="false">IFERROR(__xludf.dummyfunction("""COMPUTED_VALUE"""),"Se realizaron reuniones con los lideres de: Participación y atención al ciudadano.  Se implento el servicio de pago en linea y certificaciones de OPS en línea.")</f>
        <v>Se realizaron reuniones con los lideres de: Participación y atención al ciudadano.  Se implento el servicio de pago en linea y certificaciones de OPS en línea.</v>
      </c>
      <c r="F38" s="0" t="str">
        <f aca="false">IFERROR(__xludf.dummyfunction("""COMPUTED_VALUE"""),"Completo")</f>
        <v>Completo</v>
      </c>
    </row>
    <row r="39" customFormat="false" ht="14.25" hidden="false" customHeight="false" outlineLevel="0" collapsed="false">
      <c r="A39" s="18" t="str">
        <f aca="false">IFERROR(MID(D39,1,FIND("|",D39)-1)&amp;"-"&amp;C39,"")</f>
        <v>AICI202005-30-1-1</v>
      </c>
      <c r="B39" s="19" t="n">
        <f aca="false">IFERROR(__xludf.dummyfunction("""COMPUTED_VALUE"""),44379)</f>
        <v>44379</v>
      </c>
      <c r="C39" s="0" t="n">
        <f aca="false">IFERROR(__xludf.dummyfunction("""COMPUTED_VALUE"""),1)</f>
        <v>1</v>
      </c>
      <c r="D39" s="0" t="str">
        <f aca="false">IFERROR(__xludf.dummyfunction("""COMPUTED_VALUE"""),"AICI202005-30-1| Establecer reuniòn con Atenciòn al ciudadano y areas implicadas en cada uno de los procesos de tramites y procedimientos administrativos, para evaluar la posibilidad de semiatomatizar o automatizar (01/10/2020 - 31/12/2020)")</f>
        <v>AICI202005-30-1| Establecer reuniòn con Atenciòn al ciudadano y areas implicadas en cada uno de los procesos de tramites y procedimientos administrativos, para evaluar la posibilidad de semiatomatizar o automatizar (01/10/2020 - 31/12/2020)</v>
      </c>
      <c r="E39" s="0" t="str">
        <f aca="false">IFERROR(__xludf.dummyfunction("""COMPUTED_VALUE"""),"Se realizaron reuniones con los lideres de: Participación y atención al ciudadano.  Se implento el servicio de pago en linea y certificaciones de OPS en línea.")</f>
        <v>Se realizaron reuniones con los lideres de: Participación y atención al ciudadano.  Se implento el servicio de pago en linea y certificaciones de OPS en línea.</v>
      </c>
      <c r="F39" s="0" t="str">
        <f aca="false">IFERROR(__xludf.dummyfunction("""COMPUTED_VALUE"""),"Completo")</f>
        <v>Completo</v>
      </c>
    </row>
    <row r="40" customFormat="false" ht="14.25" hidden="false" customHeight="false" outlineLevel="0" collapsed="false">
      <c r="A40" s="18" t="str">
        <f aca="false">IFERROR(MID(D40,1,FIND("|",D40)-1)&amp;"-"&amp;C40,"")</f>
        <v>AICI202005-31-1-1</v>
      </c>
      <c r="B40" s="19" t="n">
        <f aca="false">IFERROR(__xludf.dummyfunction("""COMPUTED_VALUE"""),44379)</f>
        <v>44379</v>
      </c>
      <c r="C40" s="0" t="n">
        <f aca="false">IFERROR(__xludf.dummyfunction("""COMPUTED_VALUE"""),1)</f>
        <v>1</v>
      </c>
      <c r="D40" s="0" t="str">
        <f aca="false">IFERROR(__xludf.dummyfunction("""COMPUTED_VALUE"""),"AICI202005-31-1| Establecer reuniòn con Atenciòn al ciudadano y areas implicadas en cada uno de los procesos de tramites y procedimientos administrativos, para evaluar la posibilidad de semiatomatizar o automatizar (01/10/2020 - 31/12/2020)")</f>
        <v>AICI202005-31-1| Establecer reuniòn con Atenciòn al ciudadano y areas implicadas en cada uno de los procesos de tramites y procedimientos administrativos, para evaluar la posibilidad de semiatomatizar o automatizar (01/10/2020 - 31/12/2020)</v>
      </c>
      <c r="E40" s="0" t="str">
        <f aca="false">IFERROR(__xludf.dummyfunction("""COMPUTED_VALUE"""),"Se realizaron reuniones con los lideres de: Participación y atención al ciudadano.  Se implento el servicio de pago en linea y certificaciones de OPS en línea.")</f>
        <v>Se realizaron reuniones con los lideres de: Participación y atención al ciudadano.  Se implento el servicio de pago en linea y certificaciones de OPS en línea.</v>
      </c>
      <c r="F40" s="0" t="str">
        <f aca="false">IFERROR(__xludf.dummyfunction("""COMPUTED_VALUE"""),"Completo")</f>
        <v>Completo</v>
      </c>
    </row>
    <row r="41" customFormat="false" ht="14.25" hidden="false" customHeight="false" outlineLevel="0" collapsed="false">
      <c r="A41" s="18" t="str">
        <f aca="false">IFERROR(MID(D41,1,FIND("|",D41)-1)&amp;"-"&amp;C41,"")</f>
        <v>AICI202005-32-1-1</v>
      </c>
      <c r="B41" s="19" t="n">
        <f aca="false">IFERROR(__xludf.dummyfunction("""COMPUTED_VALUE"""),44379)</f>
        <v>44379</v>
      </c>
      <c r="C41" s="0" t="n">
        <f aca="false">IFERROR(__xludf.dummyfunction("""COMPUTED_VALUE"""),1)</f>
        <v>1</v>
      </c>
      <c r="D41" s="0" t="str">
        <f aca="false">IFERROR(__xludf.dummyfunction("""COMPUTED_VALUE"""),"AICI202005-32-1| Establecer reuniòn con la oficina de Atenciòn al Ciudadano con el fin de realizar la Caracterizaciòn de usuario que requieren cada unon de los tramites y procedimientos que se encuentran publicados (01/10/2020 - 31/12/2020)")</f>
        <v>AICI202005-32-1| Establecer reuniòn con la oficina de Atenciòn al Ciudadano con el fin de realizar la Caracterizaciòn de usuario que requieren cada unon de los tramites y procedimientos que se encuentran publicados (01/10/2020 - 31/12/2020)</v>
      </c>
      <c r="E41" s="0" t="str">
        <f aca="false">IFERROR(__xludf.dummyfunction("""COMPUTED_VALUE"""),"Se realizaron reuniones con los lideres de: Participación y atención al ciudadano.  Se implento el servicio de pago en linea y certificaciones de OPS en línea.")</f>
        <v>Se realizaron reuniones con los lideres de: Participación y atención al ciudadano.  Se implento el servicio de pago en linea y certificaciones de OPS en línea.</v>
      </c>
      <c r="F41" s="0" t="str">
        <f aca="false">IFERROR(__xludf.dummyfunction("""COMPUTED_VALUE"""),"Completo")</f>
        <v>Completo</v>
      </c>
    </row>
    <row r="42" customFormat="false" ht="14.25" hidden="false" customHeight="false" outlineLevel="0" collapsed="false">
      <c r="A42" s="18" t="str">
        <f aca="false">IFERROR(MID(D42,1,FIND("|",D42)-1)&amp;"-"&amp;C42,"")</f>
        <v>AICI202005-33-1-1</v>
      </c>
      <c r="B42" s="19" t="n">
        <f aca="false">IFERROR(__xludf.dummyfunction("""COMPUTED_VALUE"""),44379)</f>
        <v>44379</v>
      </c>
      <c r="C42" s="0" t="n">
        <f aca="false">IFERROR(__xludf.dummyfunction("""COMPUTED_VALUE"""),1)</f>
        <v>1</v>
      </c>
      <c r="D42" s="0" t="str">
        <f aca="false">IFERROR(__xludf.dummyfunction("""COMPUTED_VALUE"""),"AICI202005-33-1| Realizar la mediciòn de la pagina web de la subred a traves de una herramienta que permita establecer el nivel de cumplimiento referente a la norma NTC 5854. (01/10/2020 - 30/11/2020)")</f>
        <v>AICI202005-33-1| Realizar la mediciòn de la pagina web de la subred a traves de una herramienta que permita establecer el nivel de cumplimiento referente a la norma NTC 5854. (01/10/2020 - 30/11/2020)</v>
      </c>
      <c r="E42" s="0" t="str">
        <f aca="false">IFERROR(__xludf.dummyfunction("""COMPUTED_VALUE"""),"Se evidencia medición de la página web de acuerdo con NTC5854 (Norma Técnica colombiana de accesibilidad web)")</f>
        <v>Se evidencia medición de la página web de acuerdo con NTC5854 (Norma Técnica colombiana de accesibilidad web)</v>
      </c>
      <c r="F42" s="0" t="str">
        <f aca="false">IFERROR(__xludf.dummyfunction("""COMPUTED_VALUE"""),"Completo")</f>
        <v>Completo</v>
      </c>
    </row>
    <row r="43" customFormat="false" ht="14.25" hidden="false" customHeight="false" outlineLevel="0" collapsed="false">
      <c r="A43" s="18" t="str">
        <f aca="false">IFERROR(MID(D43,1,FIND("|",D43)-1)&amp;"-"&amp;C43,"")</f>
        <v>AICI202005-34-1-1</v>
      </c>
      <c r="B43" s="19" t="n">
        <f aca="false">IFERROR(__xludf.dummyfunction("""COMPUTED_VALUE"""),44379)</f>
        <v>44379</v>
      </c>
      <c r="C43" s="0" t="n">
        <f aca="false">IFERROR(__xludf.dummyfunction("""COMPUTED_VALUE"""),1)</f>
        <v>1</v>
      </c>
      <c r="D43" s="0" t="str">
        <f aca="false">IFERROR(__xludf.dummyfunction("""COMPUTED_VALUE"""),"AICI202005-34-1| Realizar la mediciòn de la pagina web de la subred a traves de una herramienta que permita establecer el nivel de cumplimiento referente a la norma NTC 5854. (01/10/2020 - 30/11/2020)")</f>
        <v>AICI202005-34-1| Realizar la mediciòn de la pagina web de la subred a traves de una herramienta que permita establecer el nivel de cumplimiento referente a la norma NTC 5854. (01/10/2020 - 30/11/2020)</v>
      </c>
      <c r="E43" s="0" t="str">
        <f aca="false">IFERROR(__xludf.dummyfunction("""COMPUTED_VALUE"""),"Se evidencia medición de la página web de acuerdo con NTC5854 (Norma Técnica colombiana de accesibilidad web)")</f>
        <v>Se evidencia medición de la página web de acuerdo con NTC5854 (Norma Técnica colombiana de accesibilidad web)</v>
      </c>
      <c r="F43" s="0" t="str">
        <f aca="false">IFERROR(__xludf.dummyfunction("""COMPUTED_VALUE"""),"Completo")</f>
        <v>Completo</v>
      </c>
    </row>
    <row r="44" customFormat="false" ht="14.25" hidden="false" customHeight="false" outlineLevel="0" collapsed="false">
      <c r="A44" s="18" t="str">
        <f aca="false">IFERROR(MID(D44,1,FIND("|",D44)-1)&amp;"-"&amp;C44,"")</f>
        <v>AICI202005-6-1-2</v>
      </c>
      <c r="B44" s="19" t="n">
        <f aca="false">IFERROR(__xludf.dummyfunction("""COMPUTED_VALUE"""),44658)</f>
        <v>44658</v>
      </c>
      <c r="C44" s="0" t="n">
        <f aca="false">IFERROR(__xludf.dummyfunction("""COMPUTED_VALUE"""),2)</f>
        <v>2</v>
      </c>
      <c r="D44" s="0" t="str">
        <f aca="false">IFERROR(__xludf.dummyfunction("""COMPUTED_VALUE"""),"AICI202005-6-1| Adoptar una metodologia que aplique para los proyectos de TI de la Subred. (01/10/2020 - 31/12/2020)")</f>
        <v>AICI202005-6-1| Adoptar una metodologia que aplique para los proyectos de TI de la Subred. (01/10/2020 - 31/12/2020)</v>
      </c>
      <c r="E44" s="0" t="str">
        <f aca="false">IFERROR(__xludf.dummyfunction("""COMPUTED_VALUE"""),"Se evidencia la adopción de la metrología PMI con los principios de PMBOOK")</f>
        <v>Se evidencia la adopción de la metrología PMI con los principios de PMBOOK</v>
      </c>
      <c r="F44" s="0" t="str">
        <f aca="false">IFERROR(__xludf.dummyfunction("""COMPUTED_VALUE"""),"Completo")</f>
        <v>Completo</v>
      </c>
      <c r="G44" s="0" t="str">
        <f aca="false">IFERROR(__xludf.dummyfunction("""COMPUTED_VALUE"""),"Sí")</f>
        <v>Sí</v>
      </c>
    </row>
    <row r="45" customFormat="false" ht="14.25" hidden="false" customHeight="false" outlineLevel="0" collapsed="false">
      <c r="A45" s="18" t="str">
        <f aca="false">IFERROR(MID(D45,1,FIND("|",D45)-1)&amp;"-"&amp;C45,"")</f>
        <v>AICI202005-7-1-2</v>
      </c>
      <c r="B45" s="19" t="n">
        <f aca="false">IFERROR(__xludf.dummyfunction("""COMPUTED_VALUE"""),44658)</f>
        <v>44658</v>
      </c>
      <c r="C45" s="0" t="n">
        <f aca="false">IFERROR(__xludf.dummyfunction("""COMPUTED_VALUE"""),2)</f>
        <v>2</v>
      </c>
      <c r="D45" s="0" t="str">
        <f aca="false">IFERROR(__xludf.dummyfunction("""COMPUTED_VALUE"""),"AICI202005-7-1| Establecer y/o adoptar una metodologia para la elaboracion y gestión de proyectos de TI. (01/10/2020 - 31/12/2020)")</f>
        <v>AICI202005-7-1| Establecer y/o adoptar una metodologia para la elaboracion y gestión de proyectos de TI. (01/10/2020 - 31/12/2020)</v>
      </c>
      <c r="E45" s="0" t="str">
        <f aca="false">IFERROR(__xludf.dummyfunction("""COMPUTED_VALUE"""),"Se evidencia la adopción de PMI y PMBOOK")</f>
        <v>Se evidencia la adopción de PMI y PMBOOK</v>
      </c>
      <c r="F45" s="0" t="str">
        <f aca="false">IFERROR(__xludf.dummyfunction("""COMPUTED_VALUE"""),"Completo")</f>
        <v>Completo</v>
      </c>
      <c r="G45" s="0" t="str">
        <f aca="false">IFERROR(__xludf.dummyfunction("""COMPUTED_VALUE"""),"Sí")</f>
        <v>Sí</v>
      </c>
    </row>
    <row r="46" customFormat="false" ht="14.25" hidden="false" customHeight="false" outlineLevel="0" collapsed="false">
      <c r="A46" s="18" t="str">
        <f aca="false">IFERROR(MID(D46,1,FIND("|",D46)-1)&amp;"-"&amp;C46,"")</f>
        <v>AICI202005-12-1-2</v>
      </c>
      <c r="B46" s="19" t="n">
        <f aca="false">IFERROR(__xludf.dummyfunction("""COMPUTED_VALUE"""),44658)</f>
        <v>44658</v>
      </c>
      <c r="C46" s="0" t="n">
        <f aca="false">IFERROR(__xludf.dummyfunction("""COMPUTED_VALUE"""),2)</f>
        <v>2</v>
      </c>
      <c r="D46" s="0" t="str">
        <f aca="false">IFERROR(__xludf.dummyfunction("""COMPUTED_VALUE"""),"AICI202005-12-1| Documentar el ciclo de vida de los sistemas de información, en las fases que corresponda. (01/10/2020 - 31/12/2020)")</f>
        <v>AICI202005-12-1| Documentar el ciclo de vida de los sistemas de información, en las fases que corresponda. (01/10/2020 - 31/12/2020)</v>
      </c>
      <c r="E46" s="0" t="str">
        <f aca="false">IFERROR(__xludf.dummyfunction("""COMPUTED_VALUE"""),"Se cuenta con un documento con fases de ciclo de implementación y desarrollo es estado preliminar ")</f>
        <v>Se cuenta con un documento con fases de ciclo de implementación y desarrollo es estado preliminar </v>
      </c>
      <c r="F46" s="0" t="str">
        <f aca="false">IFERROR(__xludf.dummyfunction("""COMPUTED_VALUE"""),"Atrasado")</f>
        <v>Atrasado</v>
      </c>
    </row>
    <row r="47" customFormat="false" ht="14.25" hidden="false" customHeight="false" outlineLevel="0" collapsed="false">
      <c r="A47" s="18" t="str">
        <f aca="false">IFERROR(MID(D47,1,FIND("|",D47)-1)&amp;"-"&amp;C47,"")</f>
        <v>AICI202005-13-1-2</v>
      </c>
      <c r="B47" s="19" t="n">
        <f aca="false">IFERROR(__xludf.dummyfunction("""COMPUTED_VALUE"""),44658)</f>
        <v>44658</v>
      </c>
      <c r="C47" s="0" t="n">
        <f aca="false">IFERROR(__xludf.dummyfunction("""COMPUTED_VALUE"""),2)</f>
        <v>2</v>
      </c>
      <c r="D47" s="0" t="str">
        <f aca="false">IFERROR(__xludf.dummyfunction("""COMPUTED_VALUE"""),"AICI202005-13-1| Actualizar el plan de mantenimiento de equipos de computo (01/10/2020 - 31/12/2020)")</f>
        <v>AICI202005-13-1| Actualizar el plan de mantenimiento de equipos de computo (01/10/2020 - 31/12/2020)</v>
      </c>
      <c r="E47" s="0" t="str">
        <f aca="false">IFERROR(__xludf.dummyfunction("""COMPUTED_VALUE"""),"Se evidencia la elaboración del Palan de mantenimiento de la infraestructura de tecnología de información AP-GI-PL-10-04 ")</f>
        <v>Se evidencia la elaboración del Palan de mantenimiento de la infraestructura de tecnología de información AP-GI-PL-10-04 </v>
      </c>
      <c r="F47" s="0" t="str">
        <f aca="false">IFERROR(__xludf.dummyfunction("""COMPUTED_VALUE"""),"Completo")</f>
        <v>Completo</v>
      </c>
      <c r="G47" s="0" t="str">
        <f aca="false">IFERROR(__xludf.dummyfunction("""COMPUTED_VALUE"""),"Sí")</f>
        <v>Sí</v>
      </c>
    </row>
    <row r="48" customFormat="false" ht="14.25" hidden="false" customHeight="false" outlineLevel="0" collapsed="false">
      <c r="A48" s="18" t="str">
        <f aca="false">IFERROR(MID(D48,1,FIND("|",D48)-1)&amp;"-"&amp;C48,"")</f>
        <v>AICI202005-14-1-2</v>
      </c>
      <c r="B48" s="19" t="n">
        <f aca="false">IFERROR(__xludf.dummyfunction("""COMPUTED_VALUE"""),44658)</f>
        <v>44658</v>
      </c>
      <c r="C48" s="0" t="n">
        <f aca="false">IFERROR(__xludf.dummyfunction("""COMPUTED_VALUE"""),2)</f>
        <v>2</v>
      </c>
      <c r="D48" s="0" t="str">
        <f aca="false">IFERROR(__xludf.dummyfunction("""COMPUTED_VALUE"""),"AICI202005-14-1| Revisar y normalizar el documento de Acuerdos de Niveles de Servicios para proveedores internos y externos, donde se establezcan indicadores para su seguimiento (01/10/2020 - 31/12/2020)")</f>
        <v>AICI202005-14-1| Revisar y normalizar el documento de Acuerdos de Niveles de Servicios para proveedores internos y externos, donde se establezcan indicadores para su seguimiento (01/10/2020 - 31/12/2020)</v>
      </c>
      <c r="E48" s="0" t="str">
        <f aca="false">IFERROR(__xludf.dummyfunction("""COMPUTED_VALUE"""),"Se presenta el documento de Acuerdo de niveles de servicio ANS para los servicios de tecnología que oferta el área de TICs.  Se evidencia el seguimiento de indicadores planteados en el documento.")</f>
        <v>Se presenta el documento de Acuerdo de niveles de servicio ANS para los servicios de tecnología que oferta el área de TICs.  Se evidencia el seguimiento de indicadores planteados en el documento.</v>
      </c>
      <c r="F48" s="0" t="str">
        <f aca="false">IFERROR(__xludf.dummyfunction("""COMPUTED_VALUE"""),"Completo")</f>
        <v>Completo</v>
      </c>
      <c r="G48" s="0" t="str">
        <f aca="false">IFERROR(__xludf.dummyfunction("""COMPUTED_VALUE"""),"Sí")</f>
        <v>Sí</v>
      </c>
    </row>
    <row r="49" customFormat="false" ht="14.25" hidden="false" customHeight="false" outlineLevel="0" collapsed="false">
      <c r="A49" s="18" t="str">
        <f aca="false">IFERROR(MID(D49,1,FIND("|",D49)-1)&amp;"-"&amp;C49,"")</f>
        <v>AICI202005-15-1-2</v>
      </c>
      <c r="B49" s="19" t="n">
        <f aca="false">IFERROR(__xludf.dummyfunction("""COMPUTED_VALUE"""),44658)</f>
        <v>44658</v>
      </c>
      <c r="C49" s="0" t="n">
        <f aca="false">IFERROR(__xludf.dummyfunction("""COMPUTED_VALUE"""),2)</f>
        <v>2</v>
      </c>
      <c r="D49" s="0" t="str">
        <f aca="false">IFERROR(__xludf.dummyfunction("""COMPUTED_VALUE"""),"AICI202005-15-1| Documentar el plan de continuidad de los servivios tecnologicos. (01/10/2020 - 31/12/2020)")</f>
        <v>AICI202005-15-1| Documentar el plan de continuidad de los servivios tecnologicos. (01/10/2020 - 31/12/2020)</v>
      </c>
      <c r="E49" s="0" t="str">
        <f aca="false">IFERROR(__xludf.dummyfunction("""COMPUTED_VALUE"""),"Se cuenta con un documento en estado preliminar denominado plan de cantidad de negocio.  ")</f>
        <v>Se cuenta con un documento en estado preliminar denominado plan de cantidad de negocio.  </v>
      </c>
      <c r="F49" s="0" t="str">
        <f aca="false">IFERROR(__xludf.dummyfunction("""COMPUTED_VALUE"""),"Atrasado")</f>
        <v>Atrasado</v>
      </c>
    </row>
    <row r="50" customFormat="false" ht="14.25" hidden="false" customHeight="false" outlineLevel="0" collapsed="false">
      <c r="A50" s="18" t="str">
        <f aca="false">IFERROR(MID(D50,1,FIND("|",D50)-1)&amp;"-"&amp;C50,"")</f>
        <v>AICI202005-17-1-2</v>
      </c>
      <c r="B50" s="19" t="n">
        <f aca="false">IFERROR(__xludf.dummyfunction("""COMPUTED_VALUE"""),44658)</f>
        <v>44658</v>
      </c>
      <c r="C50" s="0" t="n">
        <f aca="false">IFERROR(__xludf.dummyfunction("""COMPUTED_VALUE"""),2)</f>
        <v>2</v>
      </c>
      <c r="D50" s="0" t="str">
        <f aca="false">IFERROR(__xludf.dummyfunction("""COMPUTED_VALUE"""),"AICI202005-17-1| Revisar y actualizar el documentos de uso y apropiaciòn de las TIC con el fin de establecer indicadores medibles para determinar la efectividad de los mismos. (01/10/2020 - 31/12/2020)")</f>
        <v>AICI202005-17-1| Revisar y actualizar el documentos de uso y apropiaciòn de las TIC con el fin de establecer indicadores medibles para determinar la efectividad de los mismos. (01/10/2020 - 31/12/2020)</v>
      </c>
      <c r="E50" s="0" t="str">
        <f aca="false">IFERROR(__xludf.dummyfunction("""COMPUTED_VALUE"""),"Se actualizo el documento denominado plan de uso y apropiación de las tecnologías de información código ap-gi-pl-07-02.  No se evidencia seguimiento a indicadores.")</f>
        <v>Se actualizo el documento denominado plan de uso y apropiación de las tecnologías de información código ap-gi-pl-07-02.  No se evidencia seguimiento a indicadores.</v>
      </c>
      <c r="F50" s="0" t="str">
        <f aca="false">IFERROR(__xludf.dummyfunction("""COMPUTED_VALUE"""),"Completo")</f>
        <v>Completo</v>
      </c>
      <c r="G50" s="0" t="str">
        <f aca="false">IFERROR(__xludf.dummyfunction("""COMPUTED_VALUE"""),"No")</f>
        <v>No</v>
      </c>
    </row>
    <row r="51" customFormat="false" ht="14.25" hidden="false" customHeight="false" outlineLevel="0" collapsed="false">
      <c r="A51" s="18" t="str">
        <f aca="false">IFERROR(MID(D51,1,FIND("|",D51)-1)&amp;"-"&amp;C51,"")</f>
        <v>AICI202005-19-1-2</v>
      </c>
      <c r="B51" s="19" t="n">
        <f aca="false">IFERROR(__xludf.dummyfunction("""COMPUTED_VALUE"""),44658)</f>
        <v>44658</v>
      </c>
      <c r="C51" s="0" t="n">
        <f aca="false">IFERROR(__xludf.dummyfunction("""COMPUTED_VALUE"""),2)</f>
        <v>2</v>
      </c>
      <c r="D51" s="0" t="str">
        <f aca="false">IFERROR(__xludf.dummyfunction("""COMPUTED_VALUE"""),"AICI202005-19-1| Documentar los procedimientos de seguridad de la informacion de acuerdo a las recomedaciones y a la guia de MINTIC (01/10/2020 - 31/12/2020)")</f>
        <v>AICI202005-19-1| Documentar los procedimientos de seguridad de la informacion de acuerdo a las recomedaciones y a la guia de MINTIC (01/10/2020 - 31/12/2020)</v>
      </c>
      <c r="E51" s="0" t="str">
        <f aca="false">IFERROR(__xludf.dummyfunction("""COMPUTED_VALUE"""),"No se evidencia avance en la documentación de los procedimientos de seguridad de la información.")</f>
        <v>No se evidencia avance en la documentación de los procedimientos de seguridad de la información.</v>
      </c>
      <c r="F51" s="0" t="str">
        <f aca="false">IFERROR(__xludf.dummyfunction("""COMPUTED_VALUE"""),"Atrasado")</f>
        <v>Atrasado</v>
      </c>
    </row>
    <row r="52" customFormat="false" ht="14.25" hidden="false" customHeight="false" outlineLevel="0" collapsed="false">
      <c r="A52" s="18" t="str">
        <f aca="false">IFERROR(MID(D52,1,FIND("|",D52)-1)&amp;"-"&amp;C52,"")</f>
        <v>AICI202005-20-1-2</v>
      </c>
      <c r="B52" s="19" t="n">
        <f aca="false">IFERROR(__xludf.dummyfunction("""COMPUTED_VALUE"""),44658)</f>
        <v>44658</v>
      </c>
      <c r="C52" s="0" t="n">
        <f aca="false">IFERROR(__xludf.dummyfunction("""COMPUTED_VALUE"""),2)</f>
        <v>2</v>
      </c>
      <c r="D52" s="0" t="str">
        <f aca="false">IFERROR(__xludf.dummyfunction("""COMPUTED_VALUE"""),"AICI202005-20-1| Definir el inventario de los activos de seguridad de la informacion (01/10/2020 - 31/12/2020)")</f>
        <v>AICI202005-20-1| Definir el inventario de los activos de seguridad de la informacion (01/10/2020 - 31/12/2020)</v>
      </c>
      <c r="E52" s="0" t="str">
        <f aca="false">IFERROR(__xludf.dummyfunction("""COMPUTED_VALUE"""),"Se cuenta con el documento de registro de activos de información, sin embargo no se tiene clasificado el inventario de activos de seguridad de la información")</f>
        <v>Se cuenta con el documento de registro de activos de información, sin embargo no se tiene clasificado el inventario de activos de seguridad de la información</v>
      </c>
      <c r="F52" s="0" t="str">
        <f aca="false">IFERROR(__xludf.dummyfunction("""COMPUTED_VALUE"""),"Atrasado")</f>
        <v>Atrasado</v>
      </c>
    </row>
    <row r="53" customFormat="false" ht="14.25" hidden="false" customHeight="false" outlineLevel="0" collapsed="false">
      <c r="A53" s="18" t="str">
        <f aca="false">IFERROR(MID(D53,1,FIND("|",D53)-1)&amp;"-"&amp;C53,"")</f>
        <v>AICI202005-21-1-2</v>
      </c>
      <c r="B53" s="19" t="n">
        <f aca="false">IFERROR(__xludf.dummyfunction("""COMPUTED_VALUE"""),44658)</f>
        <v>44658</v>
      </c>
      <c r="C53" s="0" t="n">
        <f aca="false">IFERROR(__xludf.dummyfunction("""COMPUTED_VALUE"""),2)</f>
        <v>2</v>
      </c>
      <c r="D53" s="0" t="str">
        <f aca="false">IFERROR(__xludf.dummyfunction("""COMPUTED_VALUE"""),"AICI202005-21-1| Realizar la medición de amenazas y vulnerabilidades de los riesgos de seguridad de la información aplicando la guia de gestión de seguridad y privacidad de la información. (01/10/2020 - 31/12/2020)")</f>
        <v>AICI202005-21-1| Realizar la medición de amenazas y vulnerabilidades de los riesgos de seguridad de la información aplicando la guia de gestión de seguridad y privacidad de la información. (01/10/2020 - 31/12/2020)</v>
      </c>
      <c r="E53" s="0" t="str">
        <f aca="false">IFERROR(__xludf.dummyfunction("""COMPUTED_VALUE"""),"Se realizo una revisión de vulnerabilidades de red con metaexploit y se implementaron las contramedidas.  No obstante no se cuenta con un documento que de cuenta de los riesgos de seguridad, amenazas y vulnerabilidades.")</f>
        <v>Se realizo una revisión de vulnerabilidades de red con metaexploit y se implementaron las contramedidas.  No obstante no se cuenta con un documento que de cuenta de los riesgos de seguridad, amenazas y vulnerabilidades.</v>
      </c>
      <c r="F53" s="0" t="str">
        <f aca="false">IFERROR(__xludf.dummyfunction("""COMPUTED_VALUE"""),"Atrasado")</f>
        <v>Atrasado</v>
      </c>
    </row>
    <row r="54" customFormat="false" ht="14.25" hidden="false" customHeight="false" outlineLevel="0" collapsed="false">
      <c r="A54" s="18" t="str">
        <f aca="false">IFERROR(MID(D54,1,FIND("|",D54)-1)&amp;"-"&amp;C54,"")</f>
        <v>AICI202005-22-1-2</v>
      </c>
      <c r="B54" s="19" t="n">
        <f aca="false">IFERROR(__xludf.dummyfunction("""COMPUTED_VALUE"""),44658)</f>
        <v>44658</v>
      </c>
      <c r="C54" s="0" t="n">
        <f aca="false">IFERROR(__xludf.dummyfunction("""COMPUTED_VALUE"""),2)</f>
        <v>2</v>
      </c>
      <c r="D54" s="0" t="str">
        <f aca="false">IFERROR(__xludf.dummyfunction("""COMPUTED_VALUE"""),"AICI202005-22-1| Realizar campañas de sensibilización de acuerdo al plan de comunicaciones de la oficina de sistemas de la Subred Norte. (01/10/2020 - 31/12/2020)")</f>
        <v>AICI202005-22-1| Realizar campañas de sensibilización de acuerdo al plan de comunicaciones de la oficina de sistemas de la Subred Norte. (01/10/2020 - 31/12/2020)</v>
      </c>
      <c r="E54" s="0" t="str">
        <f aca="false">IFERROR(__xludf.dummyfunction("""COMPUTED_VALUE"""),"Se elaboran y despliegan piezas comunicativas relacionas con la seguridad y privacidad de la información. No se evidencia el plan de comunicaciones.")</f>
        <v>Se elaboran y despliegan piezas comunicativas relacionas con la seguridad y privacidad de la información. No se evidencia el plan de comunicaciones.</v>
      </c>
      <c r="F54" s="0" t="str">
        <f aca="false">IFERROR(__xludf.dummyfunction("""COMPUTED_VALUE"""),"Atrasado")</f>
        <v>Atrasado</v>
      </c>
    </row>
    <row r="55" customFormat="false" ht="14.25" hidden="false" customHeight="false" outlineLevel="0" collapsed="false">
      <c r="A55" s="18" t="str">
        <f aca="false">IFERROR(MID(D55,1,FIND("|",D55)-1)&amp;"-"&amp;C55,"")</f>
        <v>AICI202005-23-1-2</v>
      </c>
      <c r="B55" s="19" t="n">
        <f aca="false">IFERROR(__xludf.dummyfunction("""COMPUTED_VALUE"""),44658)</f>
        <v>44658</v>
      </c>
      <c r="C55" s="0" t="n">
        <f aca="false">IFERROR(__xludf.dummyfunction("""COMPUTED_VALUE"""),2)</f>
        <v>2</v>
      </c>
      <c r="D55" s="0" t="str">
        <f aca="false">IFERROR(__xludf.dummyfunction("""COMPUTED_VALUE"""),"AICI202005-23-1| Elaborar el plan de control operacional de la de seguridad de la información (01/10/2020 - 31/12/2020)")</f>
        <v>AICI202005-23-1| Elaborar el plan de control operacional de la de seguridad de la información (01/10/2020 - 31/12/2020)</v>
      </c>
      <c r="E55" s="0" t="str">
        <f aca="false">IFERROR(__xludf.dummyfunction("""COMPUTED_VALUE"""),"Se cuenta con la matriz de controles y plan operacional de seguridad")</f>
        <v>Se cuenta con la matriz de controles y plan operacional de seguridad</v>
      </c>
      <c r="F55" s="0" t="str">
        <f aca="false">IFERROR(__xludf.dummyfunction("""COMPUTED_VALUE"""),"Completo")</f>
        <v>Completo</v>
      </c>
      <c r="G55" s="0" t="str">
        <f aca="false">IFERROR(__xludf.dummyfunction("""COMPUTED_VALUE"""),"Sí")</f>
        <v>Sí</v>
      </c>
    </row>
    <row r="56" customFormat="false" ht="14.25" hidden="false" customHeight="false" outlineLevel="0" collapsed="false">
      <c r="A56" s="18" t="str">
        <f aca="false">IFERROR(MID(D56,1,FIND("|",D56)-1)&amp;"-"&amp;C56,"")</f>
        <v>AICI202005-24-1-2</v>
      </c>
      <c r="B56" s="19" t="n">
        <f aca="false">IFERROR(__xludf.dummyfunction("""COMPUTED_VALUE"""),44658)</f>
        <v>44658</v>
      </c>
      <c r="C56" s="0" t="n">
        <f aca="false">IFERROR(__xludf.dummyfunction("""COMPUTED_VALUE"""),2)</f>
        <v>2</v>
      </c>
      <c r="D56" s="0" t="str">
        <f aca="false">IFERROR(__xludf.dummyfunction("""COMPUTED_VALUE"""),"AICI202005-24-1| Establecer indicadores para el seguimiento de la gestión de seguridad de la informacion. (01/10/2020 - 31/12/2020)")</f>
        <v>AICI202005-24-1| Establecer indicadores para el seguimiento de la gestión de seguridad de la informacion. (01/10/2020 - 31/12/2020)</v>
      </c>
      <c r="E56" s="0" t="str">
        <f aca="false">IFERROR(__xludf.dummyfunction("""COMPUTED_VALUE"""),"Se cuenta con plan de seguridad de la información.   Se realiza seguimiento a indicadores de la disponibilidad de los servicios:  Bases de datos, red eléctrica, mantenimiento, servidores y error humano")</f>
        <v>Se cuenta con plan de seguridad de la información.   Se realiza seguimiento a indicadores de la disponibilidad de los servicios:  Bases de datos, red eléctrica, mantenimiento, servidores y error humano</v>
      </c>
      <c r="F56" s="0" t="str">
        <f aca="false">IFERROR(__xludf.dummyfunction("""COMPUTED_VALUE"""),"Completo")</f>
        <v>Completo</v>
      </c>
      <c r="G56" s="0" t="str">
        <f aca="false">IFERROR(__xludf.dummyfunction("""COMPUTED_VALUE"""),"No")</f>
        <v>No</v>
      </c>
    </row>
    <row r="57" customFormat="false" ht="14.25" hidden="false" customHeight="false" outlineLevel="0" collapsed="false">
      <c r="A57" s="18" t="str">
        <f aca="false">IFERROR(MID(D57,1,FIND("|",D57)-1)&amp;"-"&amp;C57,"")</f>
        <v>AICI202005-25-1-2</v>
      </c>
      <c r="B57" s="19" t="n">
        <f aca="false">IFERROR(__xludf.dummyfunction("""COMPUTED_VALUE"""),44658)</f>
        <v>44658</v>
      </c>
      <c r="C57" s="0" t="n">
        <f aca="false">IFERROR(__xludf.dummyfunction("""COMPUTED_VALUE"""),2)</f>
        <v>2</v>
      </c>
      <c r="D57" s="0" t="str">
        <f aca="false">IFERROR(__xludf.dummyfunction("""COMPUTED_VALUE"""),"AICI202005-25-1| Establecer indicadores para el seguimiento de la gestión de seguridad de la informacion. (01/10/2020 - 31/12/2020)")</f>
        <v>AICI202005-25-1| Establecer indicadores para el seguimiento de la gestión de seguridad de la informacion. (01/10/2020 - 31/12/2020)</v>
      </c>
      <c r="E57" s="0" t="str">
        <f aca="false">IFERROR(__xludf.dummyfunction("""COMPUTED_VALUE"""),"Se cuenta con plan de seguridad de la información.   Se realiza seguimiento a indicadores de la disponibilidad de los servicios:  Bases de datos, red eléctrica, mantenimiento, servidores y error humano")</f>
        <v>Se cuenta con plan de seguridad de la información.   Se realiza seguimiento a indicadores de la disponibilidad de los servicios:  Bases de datos, red eléctrica, mantenimiento, servidores y error humano</v>
      </c>
      <c r="F57" s="0" t="str">
        <f aca="false">IFERROR(__xludf.dummyfunction("""COMPUTED_VALUE"""),"Completo")</f>
        <v>Completo</v>
      </c>
      <c r="G57" s="0" t="str">
        <f aca="false">IFERROR(__xludf.dummyfunction("""COMPUTED_VALUE"""),"Sí")</f>
        <v>Sí</v>
      </c>
    </row>
    <row r="58" customFormat="false" ht="14.25" hidden="false" customHeight="false" outlineLevel="0" collapsed="false">
      <c r="A58" s="18" t="str">
        <f aca="false">IFERROR(MID(D58,1,FIND("|",D58)-1)&amp;"-"&amp;C58,"")</f>
        <v>AICI202005-26-1-2</v>
      </c>
      <c r="B58" s="19" t="n">
        <f aca="false">IFERROR(__xludf.dummyfunction("""COMPUTED_VALUE"""),44658)</f>
        <v>44658</v>
      </c>
      <c r="C58" s="0" t="n">
        <f aca="false">IFERROR(__xludf.dummyfunction("""COMPUTED_VALUE"""),2)</f>
        <v>2</v>
      </c>
      <c r="D58" s="0" t="str">
        <f aca="false">IFERROR(__xludf.dummyfunction("""COMPUTED_VALUE"""),"AICI202005-26-1| Establecer plan de seguimiento y evaluación a la implementación de seguridad de la información, de acuerdo a las recomendaciones impartidas por la oficina de control interno. (01/10/2020 - 31/12/2020)")</f>
        <v>AICI202005-26-1| Establecer plan de seguimiento y evaluación a la implementación de seguridad de la información, de acuerdo a las recomendaciones impartidas por la oficina de control interno. (01/10/2020 - 31/12/2020)</v>
      </c>
      <c r="E58" s="0" t="str">
        <f aca="false">IFERROR(__xludf.dummyfunction("""COMPUTED_VALUE"""),"Se evidencia plan de seguimiento al plan de seguridad y privacidad de la información con un avance del 39%")</f>
        <v>Se evidencia plan de seguimiento al plan de seguridad y privacidad de la información con un avance del 39%</v>
      </c>
      <c r="F58" s="0" t="str">
        <f aca="false">IFERROR(__xludf.dummyfunction("""COMPUTED_VALUE"""),"Completo")</f>
        <v>Completo</v>
      </c>
      <c r="G58" s="0" t="str">
        <f aca="false">IFERROR(__xludf.dummyfunction("""COMPUTED_VALUE"""),"Sí")</f>
        <v>Sí</v>
      </c>
    </row>
    <row r="59" customFormat="false" ht="14.25" hidden="false" customHeight="false" outlineLevel="0" collapsed="false">
      <c r="A59" s="18" t="str">
        <f aca="false">IFERROR(MID(D59,1,FIND("|",D59)-1)&amp;"-"&amp;C59,"")</f>
        <v>AICI202005-12-1-3</v>
      </c>
      <c r="B59" s="19" t="n">
        <f aca="false">IFERROR(__xludf.dummyfunction("""COMPUTED_VALUE"""),44750)</f>
        <v>44750</v>
      </c>
      <c r="C59" s="0" t="n">
        <f aca="false">IFERROR(__xludf.dummyfunction("""COMPUTED_VALUE"""),3)</f>
        <v>3</v>
      </c>
      <c r="D59" s="0" t="str">
        <f aca="false">IFERROR(__xludf.dummyfunction("""COMPUTED_VALUE"""),"AICI202005-12-1| Documentar el ciclo de vida de los sistemas de información, en las fases que corresponda. (01/10/2020 - 31/12/2020)")</f>
        <v>AICI202005-12-1| Documentar el ciclo de vida de los sistemas de información, en las fases que corresponda. (01/10/2020 - 31/12/2020)</v>
      </c>
      <c r="E59" s="0" t="str">
        <f aca="false">IFERROR(__xludf.dummyfunction("""COMPUTED_VALUE"""),"Se cuenta con el documento ciclo de vida de los sistemas de información en versión 1.0")</f>
        <v>Se cuenta con el documento ciclo de vida de los sistemas de información en versión 1.0</v>
      </c>
      <c r="F59" s="0" t="str">
        <f aca="false">IFERROR(__xludf.dummyfunction("""COMPUTED_VALUE"""),"Completo")</f>
        <v>Completo</v>
      </c>
      <c r="G59" s="0" t="str">
        <f aca="false">IFERROR(__xludf.dummyfunction("""COMPUTED_VALUE"""),"Sí")</f>
        <v>Sí</v>
      </c>
    </row>
    <row r="60" customFormat="false" ht="14.25" hidden="false" customHeight="false" outlineLevel="0" collapsed="false">
      <c r="A60" s="18" t="str">
        <f aca="false">IFERROR(MID(D60,1,FIND("|",D60)-1)&amp;"-"&amp;C60,"")</f>
        <v>AICI202005-22-1-3</v>
      </c>
      <c r="B60" s="19" t="n">
        <f aca="false">IFERROR(__xludf.dummyfunction("""COMPUTED_VALUE"""),44750)</f>
        <v>44750</v>
      </c>
      <c r="C60" s="0" t="n">
        <f aca="false">IFERROR(__xludf.dummyfunction("""COMPUTED_VALUE"""),3)</f>
        <v>3</v>
      </c>
      <c r="D60" s="0" t="str">
        <f aca="false">IFERROR(__xludf.dummyfunction("""COMPUTED_VALUE"""),"AICI202005-22-1| Realizar campañas de sensibilización de acuerdo al plan de comunicaciones de la oficina de sistemas de la Subred Norte. (01/10/2020 - 31/12/2020)")</f>
        <v>AICI202005-22-1| Realizar campañas de sensibilización de acuerdo al plan de comunicaciones de la oficina de sistemas de la Subred Norte. (01/10/2020 - 31/12/2020)</v>
      </c>
      <c r="E60" s="0" t="str">
        <f aca="false">IFERROR(__xludf.dummyfunction("""COMPUTED_VALUE"""),"Se evidencia la ejecución de campañas y piezas comunicativas que fueron socializadas mediante correo electrónico institucional e intranet.  Se verifican las evidencias de la acció.   ")</f>
        <v>Se evidencia la ejecución de campañas y piezas comunicativas que fueron socializadas mediante correo electrónico institucional e intranet.  Se verifican las evidencias de la acció.   </v>
      </c>
      <c r="F60" s="0" t="str">
        <f aca="false">IFERROR(__xludf.dummyfunction("""COMPUTED_VALUE"""),"Completo")</f>
        <v>Completo</v>
      </c>
      <c r="G60" s="0" t="str">
        <f aca="false">IFERROR(__xludf.dummyfunction("""COMPUTED_VALUE"""),"Sí")</f>
        <v>Sí</v>
      </c>
    </row>
    <row r="61" customFormat="false" ht="14.25" hidden="false" customHeight="false" outlineLevel="0" collapsed="false">
      <c r="A61" s="18" t="str">
        <f aca="false">IFERROR(MID(D61,1,FIND("|",D61)-1)&amp;"-"&amp;C61,"")</f>
        <v>AICI202005-20-1-3</v>
      </c>
      <c r="B61" s="19" t="n">
        <f aca="false">IFERROR(__xludf.dummyfunction("""COMPUTED_VALUE"""),44750)</f>
        <v>44750</v>
      </c>
      <c r="C61" s="0" t="n">
        <f aca="false">IFERROR(__xludf.dummyfunction("""COMPUTED_VALUE"""),3)</f>
        <v>3</v>
      </c>
      <c r="D61" s="0" t="str">
        <f aca="false">IFERROR(__xludf.dummyfunction("""COMPUTED_VALUE"""),"AICI202005-20-1| Definir el inventario de los activos de seguridad de la informacion (01/10/2020 - 31/12/2020)")</f>
        <v>AICI202005-20-1| Definir el inventario de los activos de seguridad de la informacion (01/10/2020 - 31/12/2020)</v>
      </c>
      <c r="E61" s="0" t="str">
        <f aca="false">IFERROR(__xludf.dummyfunction("""COMPUTED_VALUE"""),"Se diseño el formato del inventario de infraestructura critica cibernética, sin embargo no se ha iniciado el registro.  ")</f>
        <v>Se diseño el formato del inventario de infraestructura critica cibernética, sin embargo no se ha iniciado el registro.  </v>
      </c>
      <c r="F61" s="0" t="str">
        <f aca="false">IFERROR(__xludf.dummyfunction("""COMPUTED_VALUE"""),"Atrasado")</f>
        <v>Atrasado</v>
      </c>
    </row>
    <row r="62" customFormat="false" ht="14.25" hidden="false" customHeight="false" outlineLevel="0" collapsed="false">
      <c r="A62" s="18" t="str">
        <f aca="false">IFERROR(MID(D62,1,FIND("|",D62)-1)&amp;"-"&amp;C62,"")</f>
        <v>AICI202005-15-1-3</v>
      </c>
      <c r="B62" s="19" t="n">
        <f aca="false">IFERROR(__xludf.dummyfunction("""COMPUTED_VALUE"""),44750)</f>
        <v>44750</v>
      </c>
      <c r="C62" s="0" t="n">
        <f aca="false">IFERROR(__xludf.dummyfunction("""COMPUTED_VALUE"""),3)</f>
        <v>3</v>
      </c>
      <c r="D62" s="0" t="str">
        <f aca="false">IFERROR(__xludf.dummyfunction("""COMPUTED_VALUE"""),"AICI202005-15-1| Documentar el plan de continuidad de los servivios tecnologicos. (01/10/2020 - 31/12/2020)")</f>
        <v>AICI202005-15-1| Documentar el plan de continuidad de los servivios tecnologicos. (01/10/2020 - 31/12/2020)</v>
      </c>
      <c r="E62" s="0" t="str">
        <f aca="false">IFERROR(__xludf.dummyfunction("""COMPUTED_VALUE"""),"No se ha ejecutado la acción ")</f>
        <v>No se ha ejecutado la acción </v>
      </c>
      <c r="F62" s="0" t="str">
        <f aca="false">IFERROR(__xludf.dummyfunction("""COMPUTED_VALUE"""),"Atrasado")</f>
        <v>Atrasado</v>
      </c>
    </row>
    <row r="63" customFormat="false" ht="14.25" hidden="false" customHeight="false" outlineLevel="0" collapsed="false">
      <c r="A63" s="18" t="str">
        <f aca="false">IFERROR(MID(D63,1,FIND("|",D63)-1)&amp;"-"&amp;C63,"")</f>
        <v>AICI202005-19-1-3</v>
      </c>
      <c r="B63" s="19" t="n">
        <f aca="false">IFERROR(__xludf.dummyfunction("""COMPUTED_VALUE"""),44750)</f>
        <v>44750</v>
      </c>
      <c r="C63" s="0" t="n">
        <f aca="false">IFERROR(__xludf.dummyfunction("""COMPUTED_VALUE"""),3)</f>
        <v>3</v>
      </c>
      <c r="D63" s="0" t="str">
        <f aca="false">IFERROR(__xludf.dummyfunction("""COMPUTED_VALUE"""),"AICI202005-19-1| Documentar los procedimientos de seguridad de la informacion de acuerdo a las recomedaciones y a la guia de MINTIC (01/10/2020 - 31/12/2020)")</f>
        <v>AICI202005-19-1| Documentar los procedimientos de seguridad de la informacion de acuerdo a las recomedaciones y a la guia de MINTIC (01/10/2020 - 31/12/2020)</v>
      </c>
      <c r="E63" s="0" t="str">
        <f aca="false">IFERROR(__xludf.dummyfunction("""COMPUTED_VALUE"""),"Esta acción no se ha ejecutado por falta de recurso humano en la subred relacionado con seguridad de la información.")</f>
        <v>Esta acción no se ha ejecutado por falta de recurso humano en la subred relacionado con seguridad de la información.</v>
      </c>
      <c r="F63" s="0" t="str">
        <f aca="false">IFERROR(__xludf.dummyfunction("""COMPUTED_VALUE"""),"Atrasado")</f>
        <v>Atrasado</v>
      </c>
    </row>
    <row r="64" customFormat="false" ht="14.25" hidden="false" customHeight="false" outlineLevel="0" collapsed="false">
      <c r="A64" s="18" t="str">
        <f aca="false">IFERROR(MID(D64,1,FIND("|",D64)-1)&amp;"-"&amp;C64,"")</f>
        <v>AICI202005-21-1-3</v>
      </c>
      <c r="B64" s="19" t="n">
        <f aca="false">IFERROR(__xludf.dummyfunction("""COMPUTED_VALUE"""),44750)</f>
        <v>44750</v>
      </c>
      <c r="C64" s="0" t="n">
        <f aca="false">IFERROR(__xludf.dummyfunction("""COMPUTED_VALUE"""),3)</f>
        <v>3</v>
      </c>
      <c r="D64" s="0" t="str">
        <f aca="false">IFERROR(__xludf.dummyfunction("""COMPUTED_VALUE"""),"AICI202005-21-1| Realizar la medición de amenazas y vulnerabilidades de los riesgos de seguridad de la información aplicando la guia de gestión de seguridad y privacidad de la información. (01/10/2020 - 31/12/2020)")</f>
        <v>AICI202005-21-1| Realizar la medición de amenazas y vulnerabilidades de los riesgos de seguridad de la información aplicando la guia de gestión de seguridad y privacidad de la información. (01/10/2020 - 31/12/2020)</v>
      </c>
      <c r="E64" s="0" t="str">
        <f aca="false">IFERROR(__xludf.dummyfunction("""COMPUTED_VALUE"""),"Esta acción no se ha ejecutado por falta de recurso humano en la subred relacionado con seguridad de la información.")</f>
        <v>Esta acción no se ha ejecutado por falta de recurso humano en la subred relacionado con seguridad de la información.</v>
      </c>
      <c r="F64" s="0" t="str">
        <f aca="false">IFERROR(__xludf.dummyfunction("""COMPUTED_VALUE"""),"Atrasado")</f>
        <v>Atrasado</v>
      </c>
    </row>
    <row r="65" customFormat="false" ht="14.25" hidden="false" customHeight="false" outlineLevel="0" collapsed="false">
      <c r="A65" s="18" t="str">
        <f aca="false">IFERROR(MID(D65,1,FIND("|",D65)-1)&amp;"-"&amp;C65,"")</f>
        <v>AICI202005-15-1-4</v>
      </c>
      <c r="B65" s="19" t="n">
        <f aca="false">IFERROR(__xludf.dummyfunction("""COMPUTED_VALUE"""),44839)</f>
        <v>44839</v>
      </c>
      <c r="C65" s="0" t="n">
        <f aca="false">IFERROR(__xludf.dummyfunction("""COMPUTED_VALUE"""),4)</f>
        <v>4</v>
      </c>
      <c r="D65" s="0" t="str">
        <f aca="false">IFERROR(__xludf.dummyfunction("""COMPUTED_VALUE"""),"AICI202005-15-1| Documentar el plan de continuidad de los servivios tecnologicos. (01/10/2020 - 31/12/2020)")</f>
        <v>AICI202005-15-1| Documentar el plan de continuidad de los servivios tecnologicos. (01/10/2020 - 31/12/2020)</v>
      </c>
      <c r="E65" s="0" t="str">
        <f aca="false">IFERROR(__xludf.dummyfunction("""COMPUTED_VALUE"""),"Se evidencia el documento de plan de continuidad de los servicios tecnológicos el cual se encuentra en normalización. ")</f>
        <v>Se evidencia el documento de plan de continuidad de los servicios tecnológicos el cual se encuentra en normalización. </v>
      </c>
      <c r="F65" s="0" t="str">
        <f aca="false">IFERROR(__xludf.dummyfunction("""COMPUTED_VALUE"""),"Completo")</f>
        <v>Completo</v>
      </c>
      <c r="G65" s="0" t="str">
        <f aca="false">IFERROR(__xludf.dummyfunction("""COMPUTED_VALUE"""),"No")</f>
        <v>No</v>
      </c>
    </row>
    <row r="66" customFormat="false" ht="14.25" hidden="false" customHeight="false" outlineLevel="0" collapsed="false">
      <c r="A66" s="18" t="str">
        <f aca="false">IFERROR(MID(D66,1,FIND("|",D66)-1)&amp;"-"&amp;C66,"")</f>
        <v>AICI202005-19-1-4</v>
      </c>
      <c r="B66" s="19" t="n">
        <f aca="false">IFERROR(__xludf.dummyfunction("""COMPUTED_VALUE"""),44839)</f>
        <v>44839</v>
      </c>
      <c r="C66" s="0" t="n">
        <f aca="false">IFERROR(__xludf.dummyfunction("""COMPUTED_VALUE"""),4)</f>
        <v>4</v>
      </c>
      <c r="D66" s="0" t="str">
        <f aca="false">IFERROR(__xludf.dummyfunction("""COMPUTED_VALUE"""),"AICI202005-19-1| Documentar los procedimientos de seguridad de la informacion de acuerdo a las recomedaciones y a la guia de MINTIC (01/10/2020 - 31/12/2020)")</f>
        <v>AICI202005-19-1| Documentar los procedimientos de seguridad de la informacion de acuerdo a las recomedaciones y a la guia de MINTIC (01/10/2020 - 31/12/2020)</v>
      </c>
      <c r="E66" s="0" t="str">
        <f aca="false">IFERROR(__xludf.dummyfunction("""COMPUTED_VALUE"""),"Se evidencia documentación sobre el procedimiento de gestión de incidentes de seguridad de la información. no se evidencian manuales y/o instructivos de procedimientos de seguridad de la información.")</f>
        <v>Se evidencia documentación sobre el procedimiento de gestión de incidentes de seguridad de la información. no se evidencian manuales y/o instructivos de procedimientos de seguridad de la información.</v>
      </c>
      <c r="F66" s="0" t="str">
        <f aca="false">IFERROR(__xludf.dummyfunction("""COMPUTED_VALUE"""),"Atrasado")</f>
        <v>Atrasado</v>
      </c>
    </row>
    <row r="67" customFormat="false" ht="14.25" hidden="false" customHeight="false" outlineLevel="0" collapsed="false">
      <c r="A67" s="18" t="str">
        <f aca="false">IFERROR(MID(D67,1,FIND("|",D67)-1)&amp;"-"&amp;C67,"")</f>
        <v>AICI202005-20-1-4</v>
      </c>
      <c r="B67" s="19" t="n">
        <f aca="false">IFERROR(__xludf.dummyfunction("""COMPUTED_VALUE"""),44839)</f>
        <v>44839</v>
      </c>
      <c r="C67" s="0" t="n">
        <f aca="false">IFERROR(__xludf.dummyfunction("""COMPUTED_VALUE"""),4)</f>
        <v>4</v>
      </c>
      <c r="D67" s="0" t="str">
        <f aca="false">IFERROR(__xludf.dummyfunction("""COMPUTED_VALUE"""),"AICI202005-20-1| Definir el inventario de los activos de seguridad de la informacion (01/10/2020 - 31/12/2020)")</f>
        <v>AICI202005-20-1| Definir el inventario de los activos de seguridad de la informacion (01/10/2020 - 31/12/2020)</v>
      </c>
      <c r="E67" s="0" t="str">
        <f aca="false">IFERROR(__xludf.dummyfunction("""COMPUTED_VALUE"""),"El inventario de activos de seguridad de la información se encuentra en levantamiento.")</f>
        <v>El inventario de activos de seguridad de la información se encuentra en levantamiento.</v>
      </c>
      <c r="F67" s="0" t="str">
        <f aca="false">IFERROR(__xludf.dummyfunction("""COMPUTED_VALUE"""),"Atrasado")</f>
        <v>Atrasado</v>
      </c>
    </row>
    <row r="68" customFormat="false" ht="14.25" hidden="false" customHeight="false" outlineLevel="0" collapsed="false">
      <c r="A68" s="18" t="str">
        <f aca="false">IFERROR(MID(D68,1,FIND("|",D68)-1)&amp;"-"&amp;C68,"")</f>
        <v>AICI202005-21-1-4</v>
      </c>
      <c r="B68" s="19" t="n">
        <f aca="false">IFERROR(__xludf.dummyfunction("""COMPUTED_VALUE"""),44839)</f>
        <v>44839</v>
      </c>
      <c r="C68" s="0" t="n">
        <f aca="false">IFERROR(__xludf.dummyfunction("""COMPUTED_VALUE"""),4)</f>
        <v>4</v>
      </c>
      <c r="D68" s="0" t="str">
        <f aca="false">IFERROR(__xludf.dummyfunction("""COMPUTED_VALUE"""),"AICI202005-21-1| Realizar la medición de amenazas y vulnerabilidades de los riesgos de seguridad de la información aplicando la guia de gestión de seguridad y privacidad de la información. (01/10/2020 - 31/12/2020)")</f>
        <v>AICI202005-21-1| Realizar la medición de amenazas y vulnerabilidades de los riesgos de seguridad de la información aplicando la guia de gestión de seguridad y privacidad de la información. (01/10/2020 - 31/12/2020)</v>
      </c>
      <c r="E68" s="0" t="str">
        <f aca="false">IFERROR(__xludf.dummyfunction("""COMPUTED_VALUE"""),"Se evidencia un documento preliminar de análisis de vulnerabilidades, sin embargo no se aplica ninguna técnica de análisis de vulnerabilidades sobre activos de información.  ")</f>
        <v>Se evidencia un documento preliminar de análisis de vulnerabilidades, sin embargo no se aplica ninguna técnica de análisis de vulnerabilidades sobre activos de información.  </v>
      </c>
      <c r="F68" s="0" t="str">
        <f aca="false">IFERROR(__xludf.dummyfunction("""COMPUTED_VALUE"""),"Atrasado")</f>
        <v>Atrasado</v>
      </c>
    </row>
    <row r="69" customFormat="false" ht="14.25" hidden="false" customHeight="false" outlineLevel="0" collapsed="false">
      <c r="A69" s="18" t="str">
        <f aca="false">IFERROR(MID(D69,1,FIND("|",D69)-1)&amp;"-"&amp;C69,"")</f>
        <v>AICI202005-19-1-5</v>
      </c>
      <c r="B69" s="19" t="n">
        <f aca="false">IFERROR(__xludf.dummyfunction("""COMPUTED_VALUE"""),44936)</f>
        <v>44936</v>
      </c>
      <c r="C69" s="0" t="n">
        <f aca="false">IFERROR(__xludf.dummyfunction("""COMPUTED_VALUE"""),5)</f>
        <v>5</v>
      </c>
      <c r="D69" s="0" t="str">
        <f aca="false">IFERROR(__xludf.dummyfunction("""COMPUTED_VALUE"""),"AICI202005-19-1| Documentar los procedimientos de seguridad de la informacion de acuerdo a las recomedaciones y a la guia de MINTIC (01/10/2020 - 31/12/2020)")</f>
        <v>AICI202005-19-1| Documentar los procedimientos de seguridad de la informacion de acuerdo a las recomedaciones y a la guia de MINTIC (01/10/2020 - 31/12/2020)</v>
      </c>
      <c r="E69" s="0" t="str">
        <f aca="false">IFERROR(__xludf.dummyfunction("""COMPUTED_VALUE"""),"Se evidencia que en el plan de seguridad de la información, se tiene contemplado la elaboración de los procedimientos de seguridad de la información de acuerdo con la guía de Mintic.  Para el periodo informado se actualizaron los procedimientos análisis d"&amp;"e vulnerabilidades, gestión de incidentes de seguridad de la información; se encuentra pendiente la normalización de levantamiento de activos de información.")</f>
        <v>Se evidencia que en el plan de seguridad de la información, se tiene contemplado la elaboración de los procedimientos de seguridad de la información de acuerdo con la guía de Mintic.  Para el periodo informado se actualizaron los procedimientos análisis de vulnerabilidades, gestión de incidentes de seguridad de la información; se encuentra pendiente la normalización de levantamiento de activos de información.</v>
      </c>
      <c r="F69" s="0" t="str">
        <f aca="false">IFERROR(__xludf.dummyfunction("""COMPUTED_VALUE"""),"Completo")</f>
        <v>Completo</v>
      </c>
      <c r="G69" s="0" t="str">
        <f aca="false">IFERROR(__xludf.dummyfunction("""COMPUTED_VALUE"""),"Sí")</f>
        <v>Sí</v>
      </c>
    </row>
    <row r="70" customFormat="false" ht="14.25" hidden="false" customHeight="false" outlineLevel="0" collapsed="false">
      <c r="A70" s="18" t="str">
        <f aca="false">IFERROR(MID(D70,1,FIND("|",D70)-1)&amp;"-"&amp;C70,"")</f>
        <v>AICI202005-20-1-5</v>
      </c>
      <c r="B70" s="19" t="n">
        <f aca="false">IFERROR(__xludf.dummyfunction("""COMPUTED_VALUE"""),44936)</f>
        <v>44936</v>
      </c>
      <c r="C70" s="0" t="n">
        <f aca="false">IFERROR(__xludf.dummyfunction("""COMPUTED_VALUE"""),5)</f>
        <v>5</v>
      </c>
      <c r="D70" s="0" t="str">
        <f aca="false">IFERROR(__xludf.dummyfunction("""COMPUTED_VALUE"""),"AICI202005-20-1| Definir el inventario de los activos de seguridad de la informacion (01/10/2020 - 31/12/2020)")</f>
        <v>AICI202005-20-1| Definir el inventario de los activos de seguridad de la informacion (01/10/2020 - 31/12/2020)</v>
      </c>
      <c r="E70" s="0" t="str">
        <f aca="false">IFERROR(__xludf.dummyfunction("""COMPUTED_VALUE"""),"Se cuenta con el inventario de activos de información con corte a 31 de diciembre de 2022.  Por disposición del  procedimiento de levantamiento de activos de seguridad de la información, la actualización se debe realizar anualmente.  ")</f>
        <v>Se cuenta con el inventario de activos de información con corte a 31 de diciembre de 2022.  Por disposición del  procedimiento de levantamiento de activos de seguridad de la información, la actualización se debe realizar anualmente.  </v>
      </c>
      <c r="F70" s="0" t="str">
        <f aca="false">IFERROR(__xludf.dummyfunction("""COMPUTED_VALUE"""),"Completo")</f>
        <v>Completo</v>
      </c>
      <c r="G70" s="0" t="str">
        <f aca="false">IFERROR(__xludf.dummyfunction("""COMPUTED_VALUE"""),"Sí")</f>
        <v>Sí</v>
      </c>
    </row>
    <row r="71" customFormat="false" ht="14.25" hidden="false" customHeight="false" outlineLevel="0" collapsed="false">
      <c r="A71" s="18" t="str">
        <f aca="false">IFERROR(MID(D71,1,FIND("|",D71)-1)&amp;"-"&amp;C71,"")</f>
        <v>AICI202005-21-1-5</v>
      </c>
      <c r="B71" s="19" t="n">
        <f aca="false">IFERROR(__xludf.dummyfunction("""COMPUTED_VALUE"""),44936)</f>
        <v>44936</v>
      </c>
      <c r="C71" s="0" t="n">
        <f aca="false">IFERROR(__xludf.dummyfunction("""COMPUTED_VALUE"""),5)</f>
        <v>5</v>
      </c>
      <c r="D71" s="0" t="str">
        <f aca="false">IFERROR(__xludf.dummyfunction("""COMPUTED_VALUE"""),"AICI202005-21-1| Realizar la medición de amenazas y vulnerabilidades de los riesgos de seguridad de la información aplicando la guia de gestión de seguridad y privacidad de la información. (01/10/2020 - 31/12/2020)")</f>
        <v>AICI202005-21-1| Realizar la medición de amenazas y vulnerabilidades de los riesgos de seguridad de la información aplicando la guia de gestión de seguridad y privacidad de la información. (01/10/2020 - 31/12/2020)</v>
      </c>
      <c r="E71" s="0" t="str">
        <f aca="false">IFERROR(__xludf.dummyfunction("""COMPUTED_VALUE"""),"Para el período observado se cuenta con el plan de tratamiento de riesgos aprobado y el inventario de activos de información contempla la identificación de amenazas y vulnerabilidades, que de acuerdo con dicho plan se deben actualizar anualmente los dos p"&amp;"rimeros meses de cada vigencia.")</f>
        <v>Para el período observado se cuenta con el plan de tratamiento de riesgos aprobado y el inventario de activos de información contempla la identificación de amenazas y vulnerabilidades, que de acuerdo con dicho plan se deben actualizar anualmente los dos primeros meses de cada vigencia.</v>
      </c>
      <c r="F71" s="0" t="str">
        <f aca="false">IFERROR(__xludf.dummyfunction("""COMPUTED_VALUE"""),"Completo")</f>
        <v>Completo</v>
      </c>
      <c r="G71" s="0" t="str">
        <f aca="false">IFERROR(__xludf.dummyfunction("""COMPUTED_VALUE"""),"Sí")</f>
        <v>Sí</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 collapsed="false" customWidth="true" hidden="false" outlineLevel="0" max="5" min="5" style="0" width="64.86"/>
  </cols>
  <sheetData>
    <row r="1" customFormat="false" ht="12.75" hidden="false" customHeight="false" outlineLevel="0" collapsed="false">
      <c r="A1" s="13" t="s">
        <v>1823</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AICI202006-1-1-1</v>
      </c>
      <c r="B4" s="19" t="n">
        <f aca="false">IFERROR(__xludf.dummyfunction("""COMPUTED_VALUE"""),44393)</f>
        <v>44393</v>
      </c>
      <c r="C4" s="0" t="n">
        <f aca="false">IFERROR(__xludf.dummyfunction("""COMPUTED_VALUE"""),1)</f>
        <v>1</v>
      </c>
      <c r="D4" s="0" t="str">
        <f aca="false">IFERROR(__xludf.dummyfunction("""COMPUTED_VALUE"""),"AICI202006-1-1| Solicitar al área de comunicaciones la socialización a cada uno de los correos de los funcionarios el instructivo de incapacidades (05/04/2021 - 31/08/2021)")</f>
        <v>AICI202006-1-1| Solicitar al área de comunicaciones la socialización a cada uno de los correos de los funcionarios el instructivo de incapacidades (05/04/2021 - 31/08/2021)</v>
      </c>
      <c r="E4" s="0" t="str">
        <f aca="false">IFERROR(__xludf.dummyfunction("""COMPUTED_VALUE"""),"Se envió pieza comunicativa a todos los funcionarios socializado el 07 de julio de 2021 -VER SOPORTE ACCIÓN 1")</f>
        <v>Se envió pieza comunicativa a todos los funcionarios socializado el 07 de julio de 2021 -VER SOPORTE ACCIÓN 1</v>
      </c>
      <c r="F4" s="0" t="str">
        <f aca="false">IFERROR(__xludf.dummyfunction("""COMPUTED_VALUE"""),"Completo")</f>
        <v>Completo</v>
      </c>
    </row>
    <row r="5" customFormat="false" ht="14.25" hidden="false" customHeight="false" outlineLevel="0" collapsed="false">
      <c r="A5" s="18" t="str">
        <f aca="false">IFERROR(MID(D5,1,FIND("|",D5)-1)&amp;"-"&amp;C5,"")</f>
        <v>AICI202006-1-2-1</v>
      </c>
      <c r="B5" s="19" t="n">
        <f aca="false">IFERROR(__xludf.dummyfunction("""COMPUTED_VALUE"""),44399)</f>
        <v>44399</v>
      </c>
      <c r="C5" s="0" t="n">
        <f aca="false">IFERROR(__xludf.dummyfunction("""COMPUTED_VALUE"""),1)</f>
        <v>1</v>
      </c>
      <c r="D5" s="0" t="str">
        <f aca="false">IFERROR(__xludf.dummyfunction("""COMPUTED_VALUE"""),"AICI202006-1-2| Enviar la circular de incapacidades para el cumplimento del reporte mensual por cada una de las áreas (05/04/2021 - 31/08/2021)")</f>
        <v>AICI202006-1-2| Enviar la circular de incapacidades para el cumplimento del reporte mensual por cada una de las áreas (05/04/2021 - 31/08/2021)</v>
      </c>
      <c r="E5" s="0" t="str">
        <f aca="false">IFERROR(__xludf.dummyfunction("""COMPUTED_VALUE""")," La circular se encuentra en revisión de la Dirección de Gestión del Talento Humano ")</f>
        <v> La circular se encuentra en revisión de la Dirección de Gestión del Talento Humano </v>
      </c>
      <c r="F5" s="0" t="str">
        <f aca="false">IFERROR(__xludf.dummyfunction("""COMPUTED_VALUE"""),"En desarrollo")</f>
        <v>En desarrollo</v>
      </c>
    </row>
    <row r="6" customFormat="false" ht="14.25" hidden="false" customHeight="false" outlineLevel="0" collapsed="false">
      <c r="A6" s="18" t="str">
        <f aca="false">IFERROR(MID(D6,1,FIND("|",D6)-1)&amp;"-"&amp;C6,"")</f>
        <v>AICI202006-2-1-1</v>
      </c>
      <c r="B6" s="19" t="n">
        <f aca="false">IFERROR(__xludf.dummyfunction("""COMPUTED_VALUE"""),44399)</f>
        <v>44399</v>
      </c>
      <c r="C6" s="0" t="n">
        <f aca="false">IFERROR(__xludf.dummyfunction("""COMPUTED_VALUE"""),1)</f>
        <v>1</v>
      </c>
      <c r="D6" s="0" t="str">
        <f aca="false">IFERROR(__xludf.dummyfunction("""COMPUTED_VALUE"""),"AICI202006-2-1| Actualizar el instructivo de Incapacidades AP-TH-I-24-02 y solicitar al área de Calidad su normalización (05/04/2021 - 31/08/2021)")</f>
        <v>AICI202006-2-1| Actualizar el instructivo de Incapacidades AP-TH-I-24-02 y solicitar al área de Calidad su normalización (05/04/2021 - 31/08/2021)</v>
      </c>
      <c r="E6" s="0" t="str">
        <f aca="false">IFERROR(__xludf.dummyfunction("""COMPUTED_VALUE"""),"El instructivo de incapacidades actualizado se encuentra en proceso de aprobación, se hace revisión del borrador enviado evidenciado que hace falta incluir varios item referidos en el informe de la auditoría, se debe revisar el tema de INCAX ya que al par"&amp;"ecer dicha herramienta no se va a implementar. Se hacen las observaciones respectivas en el documento. en el instructivo se mencionan varios documentos anexos que no son remitidos, se hace el respectivo requerimiento")</f>
        <v>El instructivo de incapacidades actualizado se encuentra en proceso de aprobación, se hace revisión del borrador enviado evidenciado que hace falta incluir varios item referidos en el informe de la auditoría, se debe revisar el tema de INCAX ya que al parecer dicha herramienta no se va a implementar. Se hacen las observaciones respectivas en el documento. en el instructivo se mencionan varios documentos anexos que no son remitidos, se hace el respectivo requerimiento</v>
      </c>
      <c r="F6" s="0" t="str">
        <f aca="false">IFERROR(__xludf.dummyfunction("""COMPUTED_VALUE"""),"En desarrollo")</f>
        <v>En desarrollo</v>
      </c>
    </row>
    <row r="7" customFormat="false" ht="14.25" hidden="false" customHeight="false" outlineLevel="0" collapsed="false">
      <c r="A7" s="18" t="str">
        <f aca="false">IFERROR(MID(D7,1,FIND("|",D7)-1)&amp;"-"&amp;C7,"")</f>
        <v>AICI202006-3-1-1</v>
      </c>
      <c r="B7" s="19" t="n">
        <f aca="false">IFERROR(__xludf.dummyfunction("""COMPUTED_VALUE"""),-686236)</f>
        <v>-686236</v>
      </c>
      <c r="C7" s="0" t="n">
        <f aca="false">IFERROR(__xludf.dummyfunction("""COMPUTED_VALUE"""),1)</f>
        <v>1</v>
      </c>
      <c r="D7" s="0" t="str">
        <f aca="false">IFERROR(__xludf.dummyfunction("""COMPUTED_VALUE"""),"AICI202006-3-1| Asignar a la profesional Marcela Iglesias para ejercer las labores de apoyo y control y a Adriana Cristancho para el monitoreo y seguimiento al proceso de Incapacidades (22/02/2020 - 15/03/2021)")</f>
        <v>AICI202006-3-1| Asignar a la profesional Marcela Iglesias para ejercer las labores de apoyo y control y a Adriana Cristancho para el monitoreo y seguimiento al proceso de Incapacidades (22/02/2020 - 15/03/2021)</v>
      </c>
      <c r="E7" s="0" t="str">
        <f aca="false">IFERROR(__xludf.dummyfunction("""COMPUTED_VALUE"""),"El seguimiento refiere que ya se ejecutó la acción y las profesionales mencionadas están cumpliendo con las actividades referidas en la no conformidad, pero no se envía ningún soporte de lo anterior. Se deben soportar las actividades de apoyo y control Re"&amp;"alizadas por la profesional Marcela Iglesias y las actividades de monitoreo y seguimiento realizadas por Adriana Cristancho, frente al  proceso de incapacidades para dar cumplimiento cabal a la acción.")</f>
        <v>El seguimiento refiere que ya se ejecutó la acción y las profesionales mencionadas están cumpliendo con las actividades referidas en la no conformidad, pero no se envía ningún soporte de lo anterior. Se deben soportar las actividades de apoyo y control Realizadas por la profesional Marcela Iglesias y las actividades de monitoreo y seguimiento realizadas por Adriana Cristancho, frente al  proceso de incapacidades para dar cumplimiento cabal a la acción.</v>
      </c>
      <c r="F7" s="0" t="str">
        <f aca="false">IFERROR(__xludf.dummyfunction("""COMPUTED_VALUE"""),"Atrasado")</f>
        <v>Atrasado</v>
      </c>
    </row>
    <row r="8" customFormat="false" ht="14.25" hidden="false" customHeight="false" outlineLevel="0" collapsed="false">
      <c r="A8" s="18" t="str">
        <f aca="false">IFERROR(MID(D8,1,FIND("|",D8)-1)&amp;"-"&amp;C8,"")</f>
        <v>AICI202006-4-1-1</v>
      </c>
      <c r="B8" s="19" t="n">
        <f aca="false">IFERROR(__xludf.dummyfunction("""COMPUTED_VALUE"""),44399)</f>
        <v>44399</v>
      </c>
      <c r="C8" s="0" t="n">
        <f aca="false">IFERROR(__xludf.dummyfunction("""COMPUTED_VALUE"""),1)</f>
        <v>1</v>
      </c>
      <c r="D8" s="0" t="str">
        <f aca="false">IFERROR(__xludf.dummyfunction("""COMPUTED_VALUE"""),"AICI202006-4-1| Implementar la herramienta tecnológica INCAX para consolidar la información de incapacidades (19/01/2021 - 30/06/2021)")</f>
        <v>AICI202006-4-1| Implementar la herramienta tecnológica INCAX para consolidar la información de incapacidades (19/01/2021 - 30/06/2021)</v>
      </c>
      <c r="E8" s="0" t="str">
        <f aca="false">IFERROR(__xludf.dummyfunction("""COMPUTED_VALUE"""),"Se informa que se adelantó  una  herramienta, la cual no fue efectiva, debido  al incumplimiento del ingeniero, se continúa trabajando con el archivo de excel mejorado y comparado con el sistema de información Sinergy. La profesional Marcela Iglesias info"&amp;"rma que por ahora no será posible dar continuidad al tema de la herramienta INCAX.  Se le explica que debido a las actuales circunstancias y a que esta herramienta soportaba varias de las acciones del plan, se hace necesario generar una propuesta de acció"&amp;"n que la reemplace y pasar una comunicación formal a la Oficina de Control Interno para hacer el cambio de dichas acciones. ")</f>
        <v>Se informa que se adelantó  una  herramienta, la cual no fue efectiva, debido  al incumplimiento del ingeniero, se continúa trabajando con el archivo de excel mejorado y comparado con el sistema de información Sinergy. La profesional Marcela Iglesias informa que por ahora no será posible dar continuidad al tema de la herramienta INCAX.  Se le explica que debido a las actuales circunstancias y a que esta herramienta soportaba varias de las acciones del plan, se hace necesario generar una propuesta de acción que la reemplace y pasar una comunicación formal a la Oficina de Control Interno para hacer el cambio de dichas acciones. </v>
      </c>
      <c r="F8" s="0" t="str">
        <f aca="false">IFERROR(__xludf.dummyfunction("""COMPUTED_VALUE"""),"Atrasado")</f>
        <v>Atrasado</v>
      </c>
    </row>
    <row r="9" customFormat="false" ht="14.25" hidden="false" customHeight="false" outlineLevel="0" collapsed="false">
      <c r="A9" s="18" t="str">
        <f aca="false">IFERROR(MID(D9,1,FIND("|",D9)-1)&amp;"-"&amp;C9,"")</f>
        <v>AICI202006-5-1-1</v>
      </c>
      <c r="B9" s="19" t="n">
        <f aca="false">IFERROR(__xludf.dummyfunction("""COMPUTED_VALUE"""),44218)</f>
        <v>44218</v>
      </c>
      <c r="C9" s="0" t="n">
        <f aca="false">IFERROR(__xludf.dummyfunction("""COMPUTED_VALUE"""),1)</f>
        <v>1</v>
      </c>
      <c r="D9" s="0" t="str">
        <f aca="false">IFERROR(__xludf.dummyfunction("""COMPUTED_VALUE"""),"AICI202006-5-1| Realizar análisis cuidadoso de los riesgos que pueden presentarse en la ejecución del procedimiento de incapacidades, así como de las no conformidades evidenciadas en el informe de auditoría, con los directos implicados en el tema de incap"&amp;"acidades (05/04/2021 - 30/11/2021)")</f>
        <v>AICI202006-5-1| Realizar análisis cuidadoso de los riesgos que pueden presentarse en la ejecución del procedimiento de incapacidades, así como de las no conformidades evidenciadas en el informe de auditoría, con los directos implicados en el tema de incapacidades (05/04/2021 - 30/11/2021)</v>
      </c>
      <c r="E9" s="0" t="str">
        <f aca="false">IFERROR(__xludf.dummyfunction("""COMPUTED_VALUE"""),"Se informa que se identificaron los posibles riesgos que pueden acontencer dentro del proceso de incapacidades y se establecieron acciones, procesos y control con la finalidad de mitigar la ocurrencia del riesgo. No se enviaron soportes de la identificaci"&amp;"ón de riesgos y las acciones definidas para mitigarlos. Se explica que es necesario presentar los soportes correspondientes.")</f>
        <v>Se informa que se identificaron los posibles riesgos que pueden acontencer dentro del proceso de incapacidades y se establecieron acciones, procesos y control con la finalidad de mitigar la ocurrencia del riesgo. No se enviaron soportes de la identificación de riesgos y las acciones definidas para mitigarlos. Se explica que es necesario presentar los soportes correspondientes.</v>
      </c>
      <c r="F9" s="0" t="str">
        <f aca="false">IFERROR(__xludf.dummyfunction("""COMPUTED_VALUE"""),"En desarrollo")</f>
        <v>En desarrollo</v>
      </c>
    </row>
    <row r="10" customFormat="false" ht="14.25" hidden="false" customHeight="false" outlineLevel="0" collapsed="false">
      <c r="A10" s="18" t="str">
        <f aca="false">IFERROR(MID(D10,1,FIND("|",D10)-1)&amp;"-"&amp;C10,"")</f>
        <v>AICI202006-5-2-1</v>
      </c>
      <c r="B10" s="19" t="n">
        <f aca="false">IFERROR(__xludf.dummyfunction("""COMPUTED_VALUE"""),44399)</f>
        <v>44399</v>
      </c>
      <c r="C10" s="0" t="n">
        <f aca="false">IFERROR(__xludf.dummyfunction("""COMPUTED_VALUE"""),1)</f>
        <v>1</v>
      </c>
      <c r="D10" s="0" t="str">
        <f aca="false">IFERROR(__xludf.dummyfunction("""COMPUTED_VALUE"""),"AICI202006-5-2| Realizar conciliaciones mensuales con las áreas financieras como cartera, contabilidad y facturación (05/04/2021 - 30/11/2021)")</f>
        <v>AICI202006-5-2| Realizar conciliaciones mensuales con las áreas financieras como cartera, contabilidad y facturación (05/04/2021 - 30/11/2021)</v>
      </c>
      <c r="E10" s="0" t="str">
        <f aca="false">IFERROR(__xludf.dummyfunction("""COMPUTED_VALUE"""),"Se evidencian soportes de conciliaciones de enero febrero y abril de 2021, no hay soportes de las conciliaciones de los meses siguientes. Se deben allegar soportes de todos los meses.")</f>
        <v>Se evidencian soportes de conciliaciones de enero febrero y abril de 2021, no hay soportes de las conciliaciones de los meses siguientes. Se deben allegar soportes de todos los meses.</v>
      </c>
      <c r="F10" s="0" t="str">
        <f aca="false">IFERROR(__xludf.dummyfunction("""COMPUTED_VALUE"""),"En desarrollo")</f>
        <v>En desarrollo</v>
      </c>
    </row>
    <row r="11" customFormat="false" ht="14.25" hidden="false" customHeight="false" outlineLevel="0" collapsed="false">
      <c r="A11" s="18" t="str">
        <f aca="false">IFERROR(MID(D11,1,FIND("|",D11)-1)&amp;"-"&amp;C11,"")</f>
        <v>AICI202006-5-3-1</v>
      </c>
      <c r="B11" s="19" t="n">
        <f aca="false">IFERROR(__xludf.dummyfunction("""COMPUTED_VALUE"""),44399)</f>
        <v>44399</v>
      </c>
      <c r="C11" s="0" t="n">
        <f aca="false">IFERROR(__xludf.dummyfunction("""COMPUTED_VALUE"""),1)</f>
        <v>1</v>
      </c>
      <c r="D11" s="0" t="str">
        <f aca="false">IFERROR(__xludf.dummyfunction("""COMPUTED_VALUE"""),"AICI202006-5-3| Realizar reuniones con los abogados del área de Talento Humano para la idenficación de los riesgos jurídicos (05/04/2021 - 30/11/2021)")</f>
        <v>AICI202006-5-3| Realizar reuniones con los abogados del área de Talento Humano para la idenficación de los riesgos jurídicos (05/04/2021 - 30/11/2021)</v>
      </c>
      <c r="E11" s="0" t="str">
        <f aca="false">IFERROR(__xludf.dummyfunction("""COMPUTED_VALUE"""),"No se refiere información sobre avances de esta acción.")</f>
        <v>No se refiere información sobre avances de esta acción.</v>
      </c>
      <c r="F11" s="0" t="str">
        <f aca="false">IFERROR(__xludf.dummyfunction("""COMPUTED_VALUE"""),"En desarrollo")</f>
        <v>En desarrollo</v>
      </c>
    </row>
    <row r="12" customFormat="false" ht="14.25" hidden="false" customHeight="false" outlineLevel="0" collapsed="false">
      <c r="A12" s="18" t="str">
        <f aca="false">IFERROR(MID(D12,1,FIND("|",D12)-1)&amp;"-"&amp;C12,"")</f>
        <v>AICI202006-6-1-1</v>
      </c>
      <c r="B12" s="19" t="n">
        <f aca="false">IFERROR(__xludf.dummyfunction("""COMPUTED_VALUE"""),44399)</f>
        <v>44399</v>
      </c>
      <c r="C12" s="0" t="n">
        <f aca="false">IFERROR(__xludf.dummyfunction("""COMPUTED_VALUE"""),1)</f>
        <v>1</v>
      </c>
      <c r="D12" s="0" t="str">
        <f aca="false">IFERROR(__xludf.dummyfunction("""COMPUTED_VALUE"""),"AICI202006-6-1| Implementar la herramienta tecnológica INCAX para el control y el registro unificado de la información de incapacidades, con las validaciones necesarias para aportar seguridad y confiabilidad al proceso (05/04/2021 - 30/11/2021)")</f>
        <v>AICI202006-6-1| Implementar la herramienta tecnológica INCAX para el control y el registro unificado de la información de incapacidades, con las validaciones necesarias para aportar seguridad y confiabilidad al proceso (05/04/2021 - 30/11/2021)</v>
      </c>
      <c r="E12" s="0" t="str">
        <f aca="false">IFERROR(__xludf.dummyfunction("""COMPUTED_VALUE"""),"Se informa que se adelantó  una  herramienta, la cual no fue efectiva, debido  al incumplimiento del ingeniero, se continúa con el archivo de excel mejorado y comparado con el sistema de información Sinergy. La profesional Marcela Iglesias informa que por"&amp;" ahora no será posible dar continuidad al tema de la herramienta INCAX.  Se le explica que debido a las actuales circunstancias y a que esta herramienta soportaba varias de las acciones del plan, se hace necesario generar una propuesta de acción que la re"&amp;"emplace y pasar una comunicación formal a la Oficina de Control Interno para hacer el cambio de dichas acciones. ")</f>
        <v>Se informa que se adelantó  una  herramienta, la cual no fue efectiva, debido  al incumplimiento del ingeniero, se continúa con el archivo de excel mejorado y comparado con el sistema de información Sinergy. La profesional Marcela Iglesias informa que por ahora no será posible dar continuidad al tema de la herramienta INCAX.  Se le explica que debido a las actuales circunstancias y a que esta herramienta soportaba varias de las acciones del plan, se hace necesario generar una propuesta de acción que la reemplace y pasar una comunicación formal a la Oficina de Control Interno para hacer el cambio de dichas acciones. </v>
      </c>
      <c r="F12" s="0" t="str">
        <f aca="false">IFERROR(__xludf.dummyfunction("""COMPUTED_VALUE"""),"En desarrollo")</f>
        <v>En desarrollo</v>
      </c>
    </row>
    <row r="13" customFormat="false" ht="14.25" hidden="false" customHeight="false" outlineLevel="0" collapsed="false">
      <c r="A13" s="18" t="str">
        <f aca="false">IFERROR(MID(D13,1,FIND("|",D13)-1)&amp;"-"&amp;C13,"")</f>
        <v>AICI202006-6-2-1</v>
      </c>
      <c r="B13" s="19" t="n">
        <f aca="false">IFERROR(__xludf.dummyfunction("""COMPUTED_VALUE"""),44399)</f>
        <v>44399</v>
      </c>
      <c r="C13" s="0" t="n">
        <f aca="false">IFERROR(__xludf.dummyfunction("""COMPUTED_VALUE"""),1)</f>
        <v>1</v>
      </c>
      <c r="D13" s="0" t="str">
        <f aca="false">IFERROR(__xludf.dummyfunction("""COMPUTED_VALUE"""),"AICI202006-6-2| Asignar un profesional para ejercer las labores de apoyo (05/04/2021 - 30/11/2021)")</f>
        <v>AICI202006-6-2| Asignar un profesional para ejercer las labores de apoyo (05/04/2021 - 30/11/2021)</v>
      </c>
      <c r="E13" s="0" t="str">
        <f aca="false">IFERROR(__xludf.dummyfunction("""COMPUTED_VALUE"""),"No se informa nada sobre la profesional que va a ejercer las labores de apoyo y su relación con la herramienta INCAX")</f>
        <v>No se informa nada sobre la profesional que va a ejercer las labores de apoyo y su relación con la herramienta INCAX</v>
      </c>
      <c r="F13" s="0" t="str">
        <f aca="false">IFERROR(__xludf.dummyfunction("""COMPUTED_VALUE"""),"En desarrollo")</f>
        <v>En desarrollo</v>
      </c>
    </row>
    <row r="14" customFormat="false" ht="14.25" hidden="false" customHeight="false" outlineLevel="0" collapsed="false">
      <c r="A14" s="18" t="str">
        <f aca="false">IFERROR(MID(D14,1,FIND("|",D14)-1)&amp;"-"&amp;C14,"")</f>
        <v>AICI202006-7-1-1</v>
      </c>
      <c r="B14" s="19" t="n">
        <f aca="false">IFERROR(__xludf.dummyfunction("""COMPUTED_VALUE"""),44399)</f>
        <v>44399</v>
      </c>
      <c r="C14" s="0" t="n">
        <f aca="false">IFERROR(__xludf.dummyfunction("""COMPUTED_VALUE"""),1)</f>
        <v>1</v>
      </c>
      <c r="D14" s="0" t="str">
        <f aca="false">IFERROR(__xludf.dummyfunction("""COMPUTED_VALUE"""),"AICI202006-7-1| Actualizar el instructivo de Incapacidades AP-TH-I-24-02 como soporte del desarrollo de las actividades de Incapacidades y su regulación y solicitar al área de Calidad su normalización (05/04/2021 - 31/08/2021)")</f>
        <v>AICI202006-7-1| Actualizar el instructivo de Incapacidades AP-TH-I-24-02 como soporte del desarrollo de las actividades de Incapacidades y su regulación y solicitar al área de Calidad su normalización (05/04/2021 - 31/08/2021)</v>
      </c>
      <c r="E14" s="0" t="str">
        <f aca="false">IFERROR(__xludf.dummyfunction("""COMPUTED_VALUE"""),"Se informa que se realizó la proyección de un nuevo instructivo detallado, el cual se encuentra en proceso  aprobación. Dicho documento no incluye los puntos de control ni describe los formatos físicos y magnéticos  formalizados que se están utilizando.")</f>
        <v>Se informa que se realizó la proyección de un nuevo instructivo detallado, el cual se encuentra en proceso  aprobación. Dicho documento no incluye los puntos de control ni describe los formatos físicos y magnéticos  formalizados que se están utilizando.</v>
      </c>
      <c r="F14" s="0" t="str">
        <f aca="false">IFERROR(__xludf.dummyfunction("""COMPUTED_VALUE"""),"En desarrollo")</f>
        <v>En desarrollo</v>
      </c>
    </row>
    <row r="15" customFormat="false" ht="14.25" hidden="false" customHeight="false" outlineLevel="0" collapsed="false">
      <c r="A15" s="18" t="str">
        <f aca="false">IFERROR(MID(D15,1,FIND("|",D15)-1)&amp;"-"&amp;C15,"")</f>
        <v>AICI202006-9-1-1</v>
      </c>
      <c r="B15" s="19" t="n">
        <f aca="false">IFERROR(__xludf.dummyfunction("""COMPUTED_VALUE"""),44399)</f>
        <v>44399</v>
      </c>
      <c r="C15" s="0" t="n">
        <f aca="false">IFERROR(__xludf.dummyfunction("""COMPUTED_VALUE"""),1)</f>
        <v>1</v>
      </c>
      <c r="D15" s="0" t="str">
        <f aca="false">IFERROR(__xludf.dummyfunction("""COMPUTED_VALUE"""),"AICI202006-9-1| Implementar el sistema tecnológico Sinergy, para liquidar las incapacidades de acuerdo a la información reportada en los documentos emitidos por la EPS. (01/01/2021 - 30/09/2021)")</f>
        <v>AICI202006-9-1| Implementar el sistema tecnológico Sinergy, para liquidar las incapacidades de acuerdo a la información reportada en los documentos emitidos por la EPS. (01/01/2021 - 30/09/2021)</v>
      </c>
      <c r="E15" s="0" t="str">
        <f aca="false">IFERROR(__xludf.dummyfunction("""COMPUTED_VALUE"""),"Se informa que en la actualidad se está trabajando en el sistema Sinergy, se envía instructivo de funcionamiento de la herramienta Sinergy. Se hace verificación directa del sistema, la técnico que lo maneja informa que la información de las incapacidades "&amp;"es transferida mediante un archivo plano que proviene del excel base que ella alimenta diariamente, con toda la información de la incapacidad y sinergy ya tiene parametrizada toda la información necesaria para hacer la liquidación de la incapacidad.  Dado"&amp;" que hay información de esta parametrización que es crítica y no se describe en el instructivo enviado, se solicita el soporte para sustentar el funcionamiento del proceso y del sistema de información con los debidos controles.")</f>
        <v>Se informa que en la actualidad se está trabajando en el sistema Sinergy, se envía instructivo de funcionamiento de la herramienta Sinergy. Se hace verificación directa del sistema, la técnico que lo maneja informa que la información de las incapacidades es transferida mediante un archivo plano que proviene del excel base que ella alimenta diariamente, con toda la información de la incapacidad y sinergy ya tiene parametrizada toda la información necesaria para hacer la liquidación de la incapacidad.  Dado que hay información de esta parametrización que es crítica y no se describe en el instructivo enviado, se solicita el soporte para sustentar el funcionamiento del proceso y del sistema de información con los debidos controles.</v>
      </c>
      <c r="F15" s="0" t="str">
        <f aca="false">IFERROR(__xludf.dummyfunction("""COMPUTED_VALUE"""),"En desarrollo")</f>
        <v>En desarrollo</v>
      </c>
    </row>
    <row r="16" customFormat="false" ht="14.25" hidden="false" customHeight="false" outlineLevel="0" collapsed="false">
      <c r="A16" s="18" t="str">
        <f aca="false">IFERROR(MID(D16,1,FIND("|",D16)-1)&amp;"-"&amp;C16,"")</f>
        <v>AICI202006-8-1-1</v>
      </c>
      <c r="B16" s="19" t="n">
        <f aca="false">IFERROR(__xludf.dummyfunction("""COMPUTED_VALUE"""),44399)</f>
        <v>44399</v>
      </c>
      <c r="C16" s="0" t="n">
        <f aca="false">IFERROR(__xludf.dummyfunction("""COMPUTED_VALUE"""),1)</f>
        <v>1</v>
      </c>
      <c r="D16" s="0" t="str">
        <f aca="false">IFERROR(__xludf.dummyfunction("""COMPUTED_VALUE"""),"AICI202006-8-1| Asignar a la profesional Marcela Iglesias para ejercer las labores de apoyo y controles, asignar a Adriana Cristancho líder de Nómina el monitoreo y seguimiento al proceso de Incapacidades y la técnico operativo Matilde Sánchez Maldonado p"&amp;"ara realizar actividades y apoyar la gestión de incapacidades (22/02/2021 - 15/03/2021)")</f>
        <v>AICI202006-8-1| Asignar a la profesional Marcela Iglesias para ejercer las labores de apoyo y controles, asignar a Adriana Cristancho líder de Nómina el monitoreo y seguimiento al proceso de Incapacidades y la técnico operativo Matilde Sánchez Maldonado para realizar actividades y apoyar la gestión de incapacidades (22/02/2021 - 15/03/2021)</v>
      </c>
      <c r="E16" s="0" t="str">
        <f aca="false">IFERROR(__xludf.dummyfunction("""COMPUTED_VALUE"""),"El seguimiento refiere que ya se ejecutó la acción y se asignaron las profesionales, pero no se envía ningún soporte de lo anterior ni de las actividades que ellas están desarrollando. Se deben soportar las actividades de control, monitoreo y seguimiento "&amp;"del proceso de incapacidades, realizadas por las profesionales. Se informó que la técnico operativo Matilde Sánchez fue asignada a otra área. por lo tanto se debe sustentar la realización de las actividades que ella realizaba.")</f>
        <v>El seguimiento refiere que ya se ejecutó la acción y se asignaron las profesionales, pero no se envía ningún soporte de lo anterior ni de las actividades que ellas están desarrollando. Se deben soportar las actividades de control, monitoreo y seguimiento del proceso de incapacidades, realizadas por las profesionales. Se informó que la técnico operativo Matilde Sánchez fue asignada a otra área. por lo tanto se debe sustentar la realización de las actividades que ella realizaba.</v>
      </c>
      <c r="F16" s="0" t="str">
        <f aca="false">IFERROR(__xludf.dummyfunction("""COMPUTED_VALUE"""),"Atrasado")</f>
        <v>Atrasado</v>
      </c>
    </row>
    <row r="17" customFormat="false" ht="14.25" hidden="false" customHeight="false" outlineLevel="0" collapsed="false">
      <c r="A17" s="18" t="str">
        <f aca="false">IFERROR(MID(D17,1,FIND("|",D17)-1)&amp;"-"&amp;C17,"")</f>
        <v>AICI202006-9-2-1</v>
      </c>
      <c r="B17" s="19" t="n">
        <f aca="false">IFERROR(__xludf.dummyfunction("""COMPUTED_VALUE"""),44399)</f>
        <v>44399</v>
      </c>
      <c r="C17" s="0" t="n">
        <f aca="false">IFERROR(__xludf.dummyfunction("""COMPUTED_VALUE"""),1)</f>
        <v>1</v>
      </c>
      <c r="D17" s="0" t="str">
        <f aca="false">IFERROR(__xludf.dummyfunction("""COMPUTED_VALUE"""),"AICI202006-9-2| Asignar un técnico para recibir las incapacidades y revisar todos los aspectos como el formato y la información allí descrita, si es necesario la incapacidad será devuelta al funcionario para tramitar su corrección o cambio. (01/04/2021 - "&amp;"15/04/2021)")</f>
        <v>AICI202006-9-2| Asignar un técnico para recibir las incapacidades y revisar todos los aspectos como el formato y la información allí descrita, si es necesario la incapacidad será devuelta al funcionario para tramitar su corrección o cambio. (01/04/2021 - 15/04/2021)</v>
      </c>
      <c r="E17" s="0" t="str">
        <f aca="false">IFERROR(__xludf.dummyfunction("""COMPUTED_VALUE"""),"Se informa que las incapacidades son recibidas por correspondencia (luz Mira en engativa) y entregadas a la técnica Administrativa Cindy Limas. Se explica que Luz Mira no realiza verificación de los datos de la incapacidad, esta verificación la realiza la"&amp;" Técnica Cindy Limas, cuando identifica que no se cumple con los requerimientos se envía un correo al funcionario. en la actualidad no se lleva algún instrumento en el cual se registre o soporte la información relativa a la revisión realizada. se explica "&amp;"que es necesario establecer algun tipo de soporte que evidencie la revisión que se está realizando para sustentar los mecanismos de control, identificar las fallas y tomar decisiones.")</f>
        <v>Se informa que las incapacidades son recibidas por correspondencia (luz Mira en engativa) y entregadas a la técnica Administrativa Cindy Limas. Se explica que Luz Mira no realiza verificación de los datos de la incapacidad, esta verificación la realiza la Técnica Cindy Limas, cuando identifica que no se cumple con los requerimientos se envía un correo al funcionario. en la actualidad no se lleva algún instrumento en el cual se registre o soporte la información relativa a la revisión realizada. se explica que es necesario establecer algun tipo de soporte que evidencie la revisión que se está realizando para sustentar los mecanismos de control, identificar las fallas y tomar decisiones.</v>
      </c>
      <c r="F17" s="0" t="str">
        <f aca="false">IFERROR(__xludf.dummyfunction("""COMPUTED_VALUE"""),"Atrasado")</f>
        <v>Atrasado</v>
      </c>
    </row>
    <row r="18" customFormat="false" ht="14.25" hidden="false" customHeight="false" outlineLevel="0" collapsed="false">
      <c r="A18" s="18" t="str">
        <f aca="false">IFERROR(MID(D18,1,FIND("|",D18)-1)&amp;"-"&amp;C18,"")</f>
        <v>AICI202006-10-1-1</v>
      </c>
      <c r="B18" s="19" t="n">
        <f aca="false">IFERROR(__xludf.dummyfunction("""COMPUTED_VALUE"""),44399)</f>
        <v>44399</v>
      </c>
      <c r="C18" s="0" t="n">
        <f aca="false">IFERROR(__xludf.dummyfunction("""COMPUTED_VALUE"""),1)</f>
        <v>1</v>
      </c>
      <c r="D18" s="0" t="str">
        <f aca="false">IFERROR(__xludf.dummyfunction("""COMPUTED_VALUE"""),"AICI202006-10-1| Actualizar el instructivo de Incapacidades AP-TH-I-24-02 y solicitar al área de Calidad su normalización - incluyendo los términos de oportunidad de radicación de incapacidades (05/04/2021 - 31/08/2021)")</f>
        <v>AICI202006-10-1| Actualizar el instructivo de Incapacidades AP-TH-I-24-02 y solicitar al área de Calidad su normalización - incluyendo los términos de oportunidad de radicación de incapacidades (05/04/2021 - 31/08/2021)</v>
      </c>
      <c r="E18" s="0" t="str">
        <f aca="false">IFERROR(__xludf.dummyfunction("""COMPUTED_VALUE"""),"Se evidenció un  borrador de instructivo de radicación de incapacidades.  Este documento describe el proceso de radicación para cada EPSy/o pagador, se realizan observaciones, ya que el mismo no especifica lo plazos para la radicación, los responsables, r"&amp;"egistros y/o evidencias y controles que garanticen la trazabilidad del proceso. ")</f>
        <v>Se evidenció un  borrador de instructivo de radicación de incapacidades.  Este documento describe el proceso de radicación para cada EPSy/o pagador, se realizan observaciones, ya que el mismo no especifica lo plazos para la radicación, los responsables, registros y/o evidencias y controles que garanticen la trazabilidad del proceso. </v>
      </c>
      <c r="F18" s="0" t="str">
        <f aca="false">IFERROR(__xludf.dummyfunction("""COMPUTED_VALUE"""),"En desarrollo")</f>
        <v>En desarrollo</v>
      </c>
    </row>
    <row r="19" customFormat="false" ht="14.25" hidden="false" customHeight="false" outlineLevel="0" collapsed="false">
      <c r="A19" s="18" t="str">
        <f aca="false">IFERROR(MID(D19,1,FIND("|",D19)-1)&amp;"-"&amp;C19,"")</f>
        <v>AICI202006-10-1-1</v>
      </c>
      <c r="B19" s="19" t="n">
        <f aca="false">IFERROR(__xludf.dummyfunction("""COMPUTED_VALUE"""),44399)</f>
        <v>44399</v>
      </c>
      <c r="C19" s="0" t="n">
        <f aca="false">IFERROR(__xludf.dummyfunction("""COMPUTED_VALUE"""),1)</f>
        <v>1</v>
      </c>
      <c r="D19" s="0" t="str">
        <f aca="false">IFERROR(__xludf.dummyfunction("""COMPUTED_VALUE"""),"AICI202006-10-1| Actualizar el instructivo de Incapacidades AP-TH-I-24-02 y solicitar al área de Calidad su normalización - incluyendo los términos de oportunidad de radicación de incapacidades (05/04/2021 - 31/08/2021)")</f>
        <v>AICI202006-10-1| Actualizar el instructivo de Incapacidades AP-TH-I-24-02 y solicitar al área de Calidad su normalización - incluyendo los términos de oportunidad de radicación de incapacidades (05/04/2021 - 31/08/2021)</v>
      </c>
      <c r="E19" s="0" t="str">
        <f aca="false">IFERROR(__xludf.dummyfunction("""COMPUTED_VALUE"""),"Se evidenció Borrador de INSTRUCTIVO DE INCAPACIDADES CON FACTURACION Y CARTERA. En este documento es necesario incluir  los controles de este proceso, describir como se va a hacer el cruce de la información de las facturas pagadas por la EPS y como estás"&amp;" se aplican a las incapacidades de cada funcionario, para que no se vuelva a caer en la misma condición evidenciada en la auditoría, en la cual no se sabía que incapacidades estaban pagas y cuales se estaban debiendo. ")</f>
        <v>Se evidenció Borrador de INSTRUCTIVO DE INCAPACIDADES CON FACTURACION Y CARTERA. En este documento es necesario incluir  los controles de este proceso, describir como se va a hacer el cruce de la información de las facturas pagadas por la EPS y como estás se aplican a las incapacidades de cada funcionario, para que no se vuelva a caer en la misma condición evidenciada en la auditoría, en la cual no se sabía que incapacidades estaban pagas y cuales se estaban debiendo. </v>
      </c>
      <c r="F19" s="0" t="str">
        <f aca="false">IFERROR(__xludf.dummyfunction("""COMPUTED_VALUE"""),"En desarrollo")</f>
        <v>En desarrollo</v>
      </c>
    </row>
    <row r="20" customFormat="false" ht="14.25" hidden="false" customHeight="false" outlineLevel="0" collapsed="false">
      <c r="A20" s="18" t="str">
        <f aca="false">IFERROR(MID(D20,1,FIND("|",D20)-1)&amp;"-"&amp;C20,"")</f>
        <v>AICI202006-14-1-1</v>
      </c>
      <c r="B20" s="19" t="n">
        <f aca="false">IFERROR(__xludf.dummyfunction("""COMPUTED_VALUE"""),44399)</f>
        <v>44399</v>
      </c>
      <c r="C20" s="0" t="n">
        <f aca="false">IFERROR(__xludf.dummyfunction("""COMPUTED_VALUE"""),1)</f>
        <v>1</v>
      </c>
      <c r="D20" s="0" t="str">
        <f aca="false">IFERROR(__xludf.dummyfunction("""COMPUTED_VALUE"""),"AICI202006-14-1| Proponer que las diferencias presentadas en los IBC por los tiempos en la liquidación y reconocimiento de la incapacidad cuenten con un margen de conciliación con contabilidad para saldos dentro del periodo de aplicación (05/04/2021 - 31/"&amp;"08/2021)")</f>
        <v>AICI202006-14-1| Proponer que las diferencias presentadas en los IBC por los tiempos en la liquidación y reconocimiento de la incapacidad cuenten con un margen de conciliación con contabilidad para saldos dentro del periodo de aplicación (05/04/2021 - 31/08/2021)</v>
      </c>
      <c r="E20" s="0" t="str">
        <f aca="false">IFERROR(__xludf.dummyfunction("""COMPUTED_VALUE"""),"Se refiere que se realizan conciliaciones internas con cartera, contabilidad, facturación y conciliaciones externas con las EPS, con la finalidad de identificar y aclarar posibles diferencias, pero no se especifica cuales fueron los márgenes  de conciliac"&amp;"ión  establecidos dentro del periodo de aplicación.")</f>
        <v>Se refiere que se realizan conciliaciones internas con cartera, contabilidad, facturación y conciliaciones externas con las EPS, con la finalidad de identificar y aclarar posibles diferencias, pero no se especifica cuales fueron los márgenes  de conciliación  establecidos dentro del periodo de aplicación.</v>
      </c>
      <c r="F20" s="0" t="str">
        <f aca="false">IFERROR(__xludf.dummyfunction("""COMPUTED_VALUE"""),"En desarrollo")</f>
        <v>En desarrollo</v>
      </c>
    </row>
    <row r="21" customFormat="false" ht="14.25" hidden="false" customHeight="false" outlineLevel="0" collapsed="false">
      <c r="A21" s="18" t="str">
        <f aca="false">IFERROR(MID(D21,1,FIND("|",D21)-1)&amp;"-"&amp;C21,"")</f>
        <v>AICI202006-15-1-1</v>
      </c>
      <c r="B21" s="19" t="n">
        <f aca="false">IFERROR(__xludf.dummyfunction("""COMPUTED_VALUE"""),44399)</f>
        <v>44399</v>
      </c>
      <c r="C21" s="0" t="n">
        <f aca="false">IFERROR(__xludf.dummyfunction("""COMPUTED_VALUE"""),1)</f>
        <v>1</v>
      </c>
      <c r="D21" s="0" t="str">
        <f aca="false">IFERROR(__xludf.dummyfunction("""COMPUTED_VALUE"""),"AICI202006-15-1| Publicar circular en la cual se divulgue a los funcionarios el proceso de incapacidades y sus requerimientos mínimos en caso de sobrepasar los 180 días. (05/04/2021 - 31/08/2021)")</f>
        <v>AICI202006-15-1| Publicar circular en la cual se divulgue a los funcionarios el proceso de incapacidades y sus requerimientos mínimos en caso de sobrepasar los 180 días. (05/04/2021 - 31/08/2021)</v>
      </c>
      <c r="E21" s="0" t="str">
        <f aca="false">IFERROR(__xludf.dummyfunction("""COMPUTED_VALUE"""),"Se informa que desde Talento Humano se  elevó solicitud de concepto juridico a la Oficina Juridica, al cual estamos a la espera de respuesta. adicionalmente se realizó reunión con la Dirección Financiera - Subgerencia Coorporativa -Asesor Jurídica y la Ge"&amp;"rencia para toma de decisiones y definir proceso")</f>
        <v>Se informa que desde Talento Humano se  elevó solicitud de concepto juridico a la Oficina Juridica, al cual estamos a la espera de respuesta. adicionalmente se realizó reunión con la Dirección Financiera - Subgerencia Coorporativa -Asesor Jurídica y la Gerencia para toma de decisiones y definir proceso</v>
      </c>
      <c r="F21" s="0" t="str">
        <f aca="false">IFERROR(__xludf.dummyfunction("""COMPUTED_VALUE"""),"En desarrollo")</f>
        <v>En desarrollo</v>
      </c>
    </row>
    <row r="22" customFormat="false" ht="14.25" hidden="false" customHeight="false" outlineLevel="0" collapsed="false">
      <c r="A22" s="18" t="str">
        <f aca="false">IFERROR(MID(D22,1,FIND("|",D22)-1)&amp;"-"&amp;C22,"")</f>
        <v>AICI202006-15-2-1</v>
      </c>
      <c r="B22" s="19" t="n">
        <f aca="false">IFERROR(__xludf.dummyfunction("""COMPUTED_VALUE"""),44430)</f>
        <v>44430</v>
      </c>
      <c r="C22" s="0" t="n">
        <f aca="false">IFERROR(__xludf.dummyfunction("""COMPUTED_VALUE"""),1)</f>
        <v>1</v>
      </c>
      <c r="D22" s="0" t="str">
        <f aca="false">IFERROR(__xludf.dummyfunction("""COMPUTED_VALUE"""),"AICI202006-15-2| Incluir dentro del instructivo de incapacidades el tema, previas consultas legales. (05/04/2021 - 31/08/2021)")</f>
        <v>AICI202006-15-2| Incluir dentro del instructivo de incapacidades el tema, previas consultas legales. (05/04/2021 - 31/08/2021)</v>
      </c>
      <c r="E22" s="0" t="str">
        <f aca="false">IFERROR(__xludf.dummyfunction("""COMPUTED_VALUE"""),"No se ha incluido esta información aún en el instructivo.")</f>
        <v>No se ha incluido esta información aún en el instructivo.</v>
      </c>
      <c r="F22" s="0" t="str">
        <f aca="false">IFERROR(__xludf.dummyfunction("""COMPUTED_VALUE"""),"En desarrollo")</f>
        <v>En desarrollo</v>
      </c>
    </row>
    <row r="23" customFormat="false" ht="14.25" hidden="false" customHeight="false" outlineLevel="0" collapsed="false">
      <c r="A23" s="18" t="str">
        <f aca="false">IFERROR(MID(D23,1,FIND("|",D23)-1)&amp;"-"&amp;C23,"")</f>
        <v>AICI202006-16-1-1</v>
      </c>
      <c r="B23" s="19" t="n">
        <f aca="false">IFERROR(__xludf.dummyfunction("""COMPUTED_VALUE"""),44399)</f>
        <v>44399</v>
      </c>
      <c r="C23" s="0" t="n">
        <f aca="false">IFERROR(__xludf.dummyfunction("""COMPUTED_VALUE"""),1)</f>
        <v>1</v>
      </c>
      <c r="D23" s="0" t="str">
        <f aca="false">IFERROR(__xludf.dummyfunction("""COMPUTED_VALUE"""),"AICI202006-16-1| Realizar circularización por parte del área de cartera, sobre el cobro en el mes de marzo anualmente previo concepto jurídico para este tema (01/03/2021 - 30/04/2021)")</f>
        <v>AICI202006-16-1| Realizar circularización por parte del área de cartera, sobre el cobro en el mes de marzo anualmente previo concepto jurídico para este tema (01/03/2021 - 30/04/2021)</v>
      </c>
      <c r="E23" s="0" t="str">
        <f aca="false">IFERROR(__xludf.dummyfunction("""COMPUTED_VALUE"""),"Se informa que Cartera realiza la circularización, y el cobro lo continúa realizando Talento Humano. No se presentaron soportes")</f>
        <v>Se informa que Cartera realiza la circularización, y el cobro lo continúa realizando Talento Humano. No se presentaron soportes</v>
      </c>
      <c r="F23" s="0" t="str">
        <f aca="false">IFERROR(__xludf.dummyfunction("""COMPUTED_VALUE"""),"Atrasado")</f>
        <v>Atrasado</v>
      </c>
    </row>
    <row r="24" customFormat="false" ht="14.25" hidden="false" customHeight="false" outlineLevel="0" collapsed="false">
      <c r="A24" s="18" t="str">
        <f aca="false">IFERROR(MID(D24,1,FIND("|",D24)-1)&amp;"-"&amp;C24,"")</f>
        <v>AICI202006-17-1-1</v>
      </c>
      <c r="B24" s="19" t="n">
        <f aca="false">IFERROR(__xludf.dummyfunction("""COMPUTED_VALUE"""),44399)</f>
        <v>44399</v>
      </c>
      <c r="C24" s="0" t="n">
        <f aca="false">IFERROR(__xludf.dummyfunction("""COMPUTED_VALUE"""),1)</f>
        <v>1</v>
      </c>
      <c r="D24" s="0" t="str">
        <f aca="false">IFERROR(__xludf.dummyfunction("""COMPUTED_VALUE"""),"AICI202006-17-1| Implementar la herramienta tecnológica INCAX, para el control y e registro unificado de la información de incapacidades, con las validaciones necesarias para aportar seguridad y confiabilidad al proceso de radicación, permitiendo evidenci"&amp;"ar el estado del trámite administrativo y de cobro de cada una de las incapacidades radicadas, generando alertas periódicas con el fin de evitar la prescripción de estas (01/03/2020 - 30/04/2020)")</f>
        <v>AICI202006-17-1| Implementar la herramienta tecnológica INCAX, para el control y e registro unificado de la información de incapacidades, con las validaciones necesarias para aportar seguridad y confiabilidad al proceso de radicación, permitiendo evidenciar el estado del trámite administrativo y de cobro de cada una de las incapacidades radicadas, generando alertas periódicas con el fin de evitar la prescripción de estas (01/03/2020 - 30/04/2020)</v>
      </c>
      <c r="E24" s="0" t="str">
        <f aca="false">IFERROR(__xludf.dummyfunction("""COMPUTED_VALUE"""),"Se informa que se adelantó  una  herramienta, la cual no fue efectiva, debido  al incumplimiento del ingeniero, se continúa con el archivo de excel mejorado y comparado con el sistema de información Sinergy. La profesional Marcela Iglesias informa que por"&amp;" ahora no será posible dar continuidad al tema de la herramienta INCAX.  Se le explica que debido a las actuales circunstancias y a que esta herramienta soportaba varias de las acciones del plan, se hace necesario generar una propuesta de acción que la re"&amp;"emplace y pasar una comunicación formal a la Oficina de Control Interno para hacer el cambio de dichas acciones. ")</f>
        <v>Se informa que se adelantó  una  herramienta, la cual no fue efectiva, debido  al incumplimiento del ingeniero, se continúa con el archivo de excel mejorado y comparado con el sistema de información Sinergy. La profesional Marcela Iglesias informa que por ahora no será posible dar continuidad al tema de la herramienta INCAX.  Se le explica que debido a las actuales circunstancias y a que esta herramienta soportaba varias de las acciones del plan, se hace necesario generar una propuesta de acción que la reemplace y pasar una comunicación formal a la Oficina de Control Interno para hacer el cambio de dichas acciones. </v>
      </c>
      <c r="F24" s="0" t="str">
        <f aca="false">IFERROR(__xludf.dummyfunction("""COMPUTED_VALUE"""),"Atrasado")</f>
        <v>Atrasado</v>
      </c>
    </row>
    <row r="25" customFormat="false" ht="14.25" hidden="false" customHeight="false" outlineLevel="0" collapsed="false">
      <c r="A25" s="18" t="str">
        <f aca="false">IFERROR(MID(D25,1,FIND("|",D25)-1)&amp;"-"&amp;C25,"")</f>
        <v>AICI202006-18-1-1</v>
      </c>
      <c r="B25" s="19" t="n">
        <f aca="false">IFERROR(__xludf.dummyfunction("""COMPUTED_VALUE"""),44399)</f>
        <v>44399</v>
      </c>
      <c r="C25" s="0" t="n">
        <f aca="false">IFERROR(__xludf.dummyfunction("""COMPUTED_VALUE"""),1)</f>
        <v>1</v>
      </c>
      <c r="D25" s="0" t="str">
        <f aca="false">IFERROR(__xludf.dummyfunction("""COMPUTED_VALUE"""),"AICI202006-18-1| Realizar las fichas de saneamiento fiscal que sean necesarias con el concepto jurídico con relación a las vigencias que prescriben. (05/04/2021 - 30/11/2021)")</f>
        <v>AICI202006-18-1| Realizar las fichas de saneamiento fiscal que sean necesarias con el concepto jurídico con relación a las vigencias que prescriben. (05/04/2021 - 30/11/2021)</v>
      </c>
      <c r="E25" s="0" t="str">
        <f aca="false">IFERROR(__xludf.dummyfunction("""COMPUTED_VALUE"""),"Se informó que el 9 de julio de 2021, se celebró reunión de las áreas de Talento Humano, Dirección Financiera - Subgerencia Corporativa -Asesor Jurídica y la Gerencia con la finalidad definir proceso de saneamiento contable. No se presentó soporte")</f>
        <v>Se informó que el 9 de julio de 2021, se celebró reunión de las áreas de Talento Humano, Dirección Financiera - Subgerencia Corporativa -Asesor Jurídica y la Gerencia con la finalidad definir proceso de saneamiento contable. No se presentó soporte</v>
      </c>
      <c r="F25" s="0" t="str">
        <f aca="false">IFERROR(__xludf.dummyfunction("""COMPUTED_VALUE"""),"En desarrollo")</f>
        <v>En desarrollo</v>
      </c>
    </row>
    <row r="26" customFormat="false" ht="14.25" hidden="false" customHeight="false" outlineLevel="0" collapsed="false">
      <c r="A26" s="18" t="str">
        <f aca="false">IFERROR(MID(D26,1,FIND("|",D26)-1)&amp;"-"&amp;C26,"")</f>
        <v>AICI202006-18-2-1</v>
      </c>
      <c r="B26" s="19" t="n">
        <f aca="false">IFERROR(__xludf.dummyfunction("""COMPUTED_VALUE"""),44399)</f>
        <v>44399</v>
      </c>
      <c r="C26" s="0" t="n">
        <f aca="false">IFERROR(__xludf.dummyfunction("""COMPUTED_VALUE"""),1)</f>
        <v>1</v>
      </c>
      <c r="D26" s="0" t="str">
        <f aca="false">IFERROR(__xludf.dummyfunction("""COMPUTED_VALUE"""),"AICI202006-18-2| Implementar el sistema INCAX para controlar y prevenir y alertar sobre los valores pendientes de pago por las EPS y ARL, de manera que se evite se mitigue el riesgo de prescripción de las cuentas se tendrá el control actual del estado de "&amp;"las incapacidades (05/04/2021 - 30/11/2021)")</f>
        <v>AICI202006-18-2| Implementar el sistema INCAX para controlar y prevenir y alertar sobre los valores pendientes de pago por las EPS y ARL, de manera que se evite se mitigue el riesgo de prescripción de las cuentas se tendrá el control actual del estado de las incapacidades (05/04/2021 - 30/11/2021)</v>
      </c>
      <c r="E26" s="0" t="str">
        <f aca="false">IFERROR(__xludf.dummyfunction("""COMPUTED_VALUE"""),"Se informa que Se adelantó  una  herramienta, la cual no fue efectiva, debido  al incumplimiento del ingeniero, se continúa con el archivo de excel mejorado y comparado con el sistema de información Sinergy. La profesional Marcela Iglesias informa que por"&amp;" ahora no será posible dar continuidad al tema de la herramienta INCAX.  Se le explica que debido a las actuales circunstancias y a que esta herramienta soportaba varias de las acciones del plan, se hace necesario generar una propuesta de acción que la re"&amp;"emplace y pasar una comunicación formal a la Oficina de Control Interno para hacer el cambio de dichas acciones. ")</f>
        <v>Se informa que Se adelantó  una  herramienta, la cual no fue efectiva, debido  al incumplimiento del ingeniero, se continúa con el archivo de excel mejorado y comparado con el sistema de información Sinergy. La profesional Marcela Iglesias informa que por ahora no será posible dar continuidad al tema de la herramienta INCAX.  Se le explica que debido a las actuales circunstancias y a que esta herramienta soportaba varias de las acciones del plan, se hace necesario generar una propuesta de acción que la reemplace y pasar una comunicación formal a la Oficina de Control Interno para hacer el cambio de dichas acciones. </v>
      </c>
      <c r="F26" s="0" t="str">
        <f aca="false">IFERROR(__xludf.dummyfunction("""COMPUTED_VALUE"""),"En desarrollo")</f>
        <v>En desarrollo</v>
      </c>
    </row>
    <row r="27" customFormat="false" ht="14.25" hidden="false" customHeight="false" outlineLevel="0" collapsed="false">
      <c r="A27" s="18" t="str">
        <f aca="false">IFERROR(MID(D27,1,FIND("|",D27)-1)&amp;"-"&amp;C27,"")</f>
        <v>AICI202006-18-3-1</v>
      </c>
      <c r="B27" s="19" t="n">
        <f aca="false">IFERROR(__xludf.dummyfunction("""COMPUTED_VALUE"""),44399)</f>
        <v>44399</v>
      </c>
      <c r="C27" s="0" t="n">
        <f aca="false">IFERROR(__xludf.dummyfunction("""COMPUTED_VALUE"""),1)</f>
        <v>1</v>
      </c>
      <c r="D27" s="0" t="str">
        <f aca="false">IFERROR(__xludf.dummyfunction("""COMPUTED_VALUE"""),"AICI202006-18-3| Realizar conciliaciones mensuales con las áreas financieras, con el fin de descargar y controlar los pagos realzados por las EPS y ARL- Conciliar y depurar con contabilidad, valores reconocidos por las EPS correspondiente a la vigencia 20"&amp;"17 (05/04/2021 - 30/11/2021)")</f>
        <v>AICI202006-18-3| Realizar conciliaciones mensuales con las áreas financieras, con el fin de descargar y controlar los pagos realzados por las EPS y ARL- Conciliar y depurar con contabilidad, valores reconocidos por las EPS correspondiente a la vigencia 2017 (05/04/2021 - 30/11/2021)</v>
      </c>
      <c r="E27" s="0" t="str">
        <f aca="false">IFERROR(__xludf.dummyfunction("""COMPUTED_VALUE"""),"Se informó que el 9 de julio de 2021, se celebró reunion de las areas de Talento Humano, Dirección Financiera - Subgerencia Corporativa -Asesor Jurídica y la Gerencia con la finalidad definir proceso de saneamiento contable. No se presentó soporte")</f>
        <v>Se informó que el 9 de julio de 2021, se celebró reunion de las areas de Talento Humano, Dirección Financiera - Subgerencia Corporativa -Asesor Jurídica y la Gerencia con la finalidad definir proceso de saneamiento contable. No se presentó soporte</v>
      </c>
      <c r="F27" s="0" t="str">
        <f aca="false">IFERROR(__xludf.dummyfunction("""COMPUTED_VALUE"""),"En desarrollo")</f>
        <v>En desarrollo</v>
      </c>
    </row>
    <row r="28" customFormat="false" ht="14.25" hidden="false" customHeight="false" outlineLevel="0" collapsed="false">
      <c r="A28" s="18" t="str">
        <f aca="false">IFERROR(MID(D28,1,FIND("|",D28)-1)&amp;"-"&amp;C28,"")</f>
        <v>AICI202006-19-1-1</v>
      </c>
      <c r="B28" s="19" t="n">
        <f aca="false">IFERROR(__xludf.dummyfunction("""COMPUTED_VALUE"""),44399)</f>
        <v>44399</v>
      </c>
      <c r="C28" s="0" t="n">
        <f aca="false">IFERROR(__xludf.dummyfunction("""COMPUTED_VALUE"""),1)</f>
        <v>1</v>
      </c>
      <c r="D28" s="0" t="str">
        <f aca="false">IFERROR(__xludf.dummyfunction("""COMPUTED_VALUE"""),"AICI202006-19-1| Actualizar el instructivo de Incapacidades AP-TH-I-24-02 e incluir en el mismo, el trámite y manejo de incapacidades de mas de 180 días y solicitar al área de Calidad su normalización (05/04/2021 - 30/08/2021)")</f>
        <v>AICI202006-19-1| Actualizar el instructivo de Incapacidades AP-TH-I-24-02 e incluir en el mismo, el trámite y manejo de incapacidades de mas de 180 días y solicitar al área de Calidad su normalización (05/04/2021 - 30/08/2021)</v>
      </c>
      <c r="E28" s="0" t="str">
        <f aca="false">IFERROR(__xludf.dummyfunction("""COMPUTED_VALUE"""),"Se informa que este documento está en construcción ")</f>
        <v>Se informa que este documento está en construcción </v>
      </c>
      <c r="F28" s="0" t="str">
        <f aca="false">IFERROR(__xludf.dummyfunction("""COMPUTED_VALUE"""),"En desarrollo")</f>
        <v>En desarrollo</v>
      </c>
    </row>
    <row r="29" customFormat="false" ht="14.25" hidden="false" customHeight="false" outlineLevel="0" collapsed="false">
      <c r="A29" s="18" t="str">
        <f aca="false">IFERROR(MID(D29,1,FIND("|",D29)-1)&amp;"-"&amp;C29,"")</f>
        <v>AICI202006-19-2-1</v>
      </c>
      <c r="B29" s="19" t="n">
        <f aca="false">IFERROR(__xludf.dummyfunction("""COMPUTED_VALUE"""),44399)</f>
        <v>44399</v>
      </c>
      <c r="C29" s="0" t="n">
        <f aca="false">IFERROR(__xludf.dummyfunction("""COMPUTED_VALUE"""),1)</f>
        <v>1</v>
      </c>
      <c r="D29" s="0" t="str">
        <f aca="false">IFERROR(__xludf.dummyfunction("""COMPUTED_VALUE"""),"AICI202006-19-2| Establecer con los abogados del área un protocolo y con el apoyo de la oficina Jurídica de la entidad, los parámetros para proceder, en los futuros casos de situaciones de cobro de incapacidades de más de 180 días a los funcionarios (05/0"&amp;"4/2021 - 30/08/2021)")</f>
        <v>AICI202006-19-2| Establecer con los abogados del área un protocolo y con el apoyo de la oficina Jurídica de la entidad, los parámetros para proceder, en los futuros casos de situaciones de cobro de incapacidades de más de 180 días a los funcionarios (05/04/2021 - 30/08/2021)</v>
      </c>
      <c r="E29" s="0" t="str">
        <f aca="false">IFERROR(__xludf.dummyfunction("""COMPUTED_VALUE"""),"No se informó avance sobre esta acción")</f>
        <v>No se informó avance sobre esta acción</v>
      </c>
      <c r="F29" s="0" t="str">
        <f aca="false">IFERROR(__xludf.dummyfunction("""COMPUTED_VALUE"""),"En desarrollo")</f>
        <v>En desarrollo</v>
      </c>
    </row>
    <row r="30" customFormat="false" ht="14.25" hidden="false" customHeight="false" outlineLevel="0" collapsed="false">
      <c r="A30" s="18" t="str">
        <f aca="false">IFERROR(MID(D30,1,FIND("|",D30)-1)&amp;"-"&amp;C30,"")</f>
        <v>AICI202006-19-3-1</v>
      </c>
      <c r="B30" s="19" t="n">
        <f aca="false">IFERROR(__xludf.dummyfunction("""COMPUTED_VALUE"""),44399)</f>
        <v>44399</v>
      </c>
      <c r="C30" s="0" t="n">
        <f aca="false">IFERROR(__xludf.dummyfunction("""COMPUTED_VALUE"""),1)</f>
        <v>1</v>
      </c>
      <c r="D30" s="0" t="str">
        <f aca="false">IFERROR(__xludf.dummyfunction("""COMPUTED_VALUE"""),"AICI202006-19-3| Adelantar los procesos legales correspondientes en cada uno de los casos vigentes referidos en el informe en el numeral 8,3, trámite a realizar con los abogados del área con el apoyo de la oficina jurídica de la entidad (05/04/2021 - 30/0"&amp;"8/2021)")</f>
        <v>AICI202006-19-3| Adelantar los procesos legales correspondientes en cada uno de los casos vigentes referidos en el informe en el numeral 8,3, trámite a realizar con los abogados del área con el apoyo de la oficina jurídica de la entidad (05/04/2021 - 30/08/2021)</v>
      </c>
      <c r="E30" s="0" t="str">
        <f aca="false">IFERROR(__xludf.dummyfunction("""COMPUTED_VALUE"""),"No se informó avance sobre esta acción")</f>
        <v>No se informó avance sobre esta acción</v>
      </c>
      <c r="F30" s="0" t="str">
        <f aca="false">IFERROR(__xludf.dummyfunction("""COMPUTED_VALUE"""),"En desarrollo")</f>
        <v>En desarrollo</v>
      </c>
    </row>
    <row r="31" customFormat="false" ht="14.25" hidden="false" customHeight="false" outlineLevel="0" collapsed="false">
      <c r="A31" s="18" t="str">
        <f aca="false">IFERROR(MID(D31,1,FIND("|",D31)-1)&amp;"-"&amp;C31,"")</f>
        <v>AICI202006-20-1-1</v>
      </c>
      <c r="B31" s="19" t="n">
        <f aca="false">IFERROR(__xludf.dummyfunction("""COMPUTED_VALUE"""),44399)</f>
        <v>44399</v>
      </c>
      <c r="C31" s="0" t="n">
        <f aca="false">IFERROR(__xludf.dummyfunction("""COMPUTED_VALUE"""),1)</f>
        <v>1</v>
      </c>
      <c r="D31" s="0" t="str">
        <f aca="false">IFERROR(__xludf.dummyfunction("""COMPUTED_VALUE"""),"AICI202006-20-1| Requerir a Colpensiones y subsanar el hallazgo (05/04/2021 - 30/08/2021)")</f>
        <v>AICI202006-20-1| Requerir a Colpensiones y subsanar el hallazgo (05/04/2021 - 30/08/2021)</v>
      </c>
      <c r="E31" s="0" t="str">
        <f aca="false">IFERROR(__xludf.dummyfunction("""COMPUTED_VALUE"""),"Se informa que se envió un oficio a colpensiones para requerir el pago de la incapacidad de la Sra. Montaño. Sin embargo no es clara la actuación ya que el oficio menciona información diferente a la establecida durante la auditoría, la funcionaria entró e"&amp;"n incapacidad en 2019 y no en 2017 como menciona el oficio, además está pendiente el cobro a la funcionaria, pues la subred le hizo un requerimiento  para reintegro de dinero el 13 de octubre de 2020 por 125 días de ausencia no soportada")</f>
        <v>Se informa que se envió un oficio a colpensiones para requerir el pago de la incapacidad de la Sra. Montaño. Sin embargo no es clara la actuación ya que el oficio menciona información diferente a la establecida durante la auditoría, la funcionaria entró en incapacidad en 2019 y no en 2017 como menciona el oficio, además está pendiente el cobro a la funcionaria, pues la subred le hizo un requerimiento  para reintegro de dinero el 13 de octubre de 2020 por 125 días de ausencia no soportada</v>
      </c>
      <c r="F31" s="0" t="str">
        <f aca="false">IFERROR(__xludf.dummyfunction("""COMPUTED_VALUE"""),"En desarrollo")</f>
        <v>En desarrollo</v>
      </c>
    </row>
    <row r="32" customFormat="false" ht="14.25" hidden="false" customHeight="false" outlineLevel="0" collapsed="false">
      <c r="A32" s="18" t="str">
        <f aca="false">IFERROR(MID(D32,1,FIND("|",D32)-1)&amp;"-"&amp;C32,"")</f>
        <v>AICI202006-20-2-1</v>
      </c>
      <c r="B32" s="19" t="n">
        <f aca="false">IFERROR(__xludf.dummyfunction("""COMPUTED_VALUE"""),44399)</f>
        <v>44399</v>
      </c>
      <c r="C32" s="0" t="n">
        <f aca="false">IFERROR(__xludf.dummyfunction("""COMPUTED_VALUE"""),1)</f>
        <v>1</v>
      </c>
      <c r="D32" s="0" t="str">
        <f aca="false">IFERROR(__xludf.dummyfunction("""COMPUTED_VALUE"""),"AICI202006-20-2| Solicitar los abogados del área y con el apoyo de la oficina Jurídica de la Subred Norte, realizar un documento con el fin de establecer parámetros y proceder en los futuros casos que se presenten (05/04/2021 - 30/08/2021)")</f>
        <v>AICI202006-20-2| Solicitar los abogados del área y con el apoyo de la oficina Jurídica de la Subred Norte, realizar un documento con el fin de establecer parámetros y proceder en los futuros casos que se presenten (05/04/2021 - 30/08/2021)</v>
      </c>
      <c r="E32" s="0" t="str">
        <f aca="false">IFERROR(__xludf.dummyfunction("""COMPUTED_VALUE"""),"No se informan avances sobre esta acción.")</f>
        <v>No se informan avances sobre esta acción.</v>
      </c>
      <c r="F32" s="0" t="str">
        <f aca="false">IFERROR(__xludf.dummyfunction("""COMPUTED_VALUE"""),"En desarrollo")</f>
        <v>En desarrollo</v>
      </c>
    </row>
    <row r="33" customFormat="false" ht="14.25" hidden="false" customHeight="false" outlineLevel="0" collapsed="false">
      <c r="A33" s="18" t="str">
        <f aca="false">IFERROR(MID(D33,1,FIND("|",D33)-1)&amp;"-"&amp;C33,"")</f>
        <v>AICI202006-20-3-1</v>
      </c>
      <c r="B33" s="19" t="n">
        <f aca="false">IFERROR(__xludf.dummyfunction("""COMPUTED_VALUE"""),44399)</f>
        <v>44399</v>
      </c>
      <c r="C33" s="0" t="n">
        <f aca="false">IFERROR(__xludf.dummyfunction("""COMPUTED_VALUE"""),1)</f>
        <v>1</v>
      </c>
      <c r="D33" s="0" t="str">
        <f aca="false">IFERROR(__xludf.dummyfunction("""COMPUTED_VALUE"""),"AICI202006-20-3| Realizar las actuaciones jurídicas que correspondan en torno al caso de la Sra. Gloria Inés Montaña (05/04/2021 - 30/08/2021)")</f>
        <v>AICI202006-20-3| Realizar las actuaciones jurídicas que correspondan en torno al caso de la Sra. Gloria Inés Montaña (05/04/2021 - 30/08/2021)</v>
      </c>
      <c r="E33" s="0" t="str">
        <f aca="false">IFERROR(__xludf.dummyfunction("""COMPUTED_VALUE"""),"No se informan avances sobre esta acción.")</f>
        <v>No se informan avances sobre esta acción.</v>
      </c>
      <c r="F33" s="0" t="str">
        <f aca="false">IFERROR(__xludf.dummyfunction("""COMPUTED_VALUE"""),"En desarrollo")</f>
        <v>En desarrollo</v>
      </c>
    </row>
    <row r="34" customFormat="false" ht="14.25" hidden="false" customHeight="false" outlineLevel="0" collapsed="false">
      <c r="A34" s="18" t="str">
        <f aca="false">IFERROR(MID(D34,1,FIND("|",D34)-1)&amp;"-"&amp;C34,"")</f>
        <v>AICI202006-21-1-1</v>
      </c>
      <c r="B34" s="19" t="n">
        <f aca="false">IFERROR(__xludf.dummyfunction("""COMPUTED_VALUE"""),44399)</f>
        <v>44399</v>
      </c>
      <c r="C34" s="0" t="n">
        <f aca="false">IFERROR(__xludf.dummyfunction("""COMPUTED_VALUE"""),1)</f>
        <v>1</v>
      </c>
      <c r="D34" s="0" t="str">
        <f aca="false">IFERROR(__xludf.dummyfunction("""COMPUTED_VALUE"""),"AICI202006-21-1| Actualizar el instructivo de Incapacidades AP-TH-I-24-02 incluyendo los temas enunciados en la no conformidad y solicitar al área de Calidad su normalización (05/04/2021 - 30/08/2021)")</f>
        <v>AICI202006-21-1| Actualizar el instructivo de Incapacidades AP-TH-I-24-02 incluyendo los temas enunciados en la no conformidad y solicitar al área de Calidad su normalización (05/04/2021 - 30/08/2021)</v>
      </c>
      <c r="E34" s="0" t="str">
        <f aca="false">IFERROR(__xludf.dummyfunction("""COMPUTED_VALUE"""),"Se evidencia que en el instructivo de incapacidades que se encuentra en ajuste se incluyó este tema, pendiente ajustar otros temas y formalización. ")</f>
        <v>Se evidencia que en el instructivo de incapacidades que se encuentra en ajuste se incluyó este tema, pendiente ajustar otros temas y formalización. </v>
      </c>
      <c r="F34" s="0" t="str">
        <f aca="false">IFERROR(__xludf.dummyfunction("""COMPUTED_VALUE"""),"En desarrollo")</f>
        <v>En desarrollo</v>
      </c>
    </row>
    <row r="35" customFormat="false" ht="14.25" hidden="false" customHeight="false" outlineLevel="0" collapsed="false">
      <c r="A35" s="18" t="str">
        <f aca="false">IFERROR(MID(D35,1,FIND("|",D35)-1)&amp;"-"&amp;C35,"")</f>
        <v>AICI202006-22-1-1</v>
      </c>
      <c r="B35" s="19" t="n">
        <f aca="false">IFERROR(__xludf.dummyfunction("""COMPUTED_VALUE"""),44399)</f>
        <v>44399</v>
      </c>
      <c r="C35" s="0" t="n">
        <f aca="false">IFERROR(__xludf.dummyfunction("""COMPUTED_VALUE"""),1)</f>
        <v>1</v>
      </c>
      <c r="D35" s="0" t="str">
        <f aca="false">IFERROR(__xludf.dummyfunction("""COMPUTED_VALUE"""),"AICI202006-22-1| Implementar el sistema Sinergy para la liquidación de las incapacidades de acuerdo a la información reportada en el documentos emitido por la EPS, (01/01/2021 - 30/06/2021)")</f>
        <v>AICI202006-22-1| Implementar el sistema Sinergy para la liquidación de las incapacidades de acuerdo a la información reportada en el documentos emitido por la EPS, (01/01/2021 - 30/06/2021)</v>
      </c>
      <c r="E35" s="0" t="str">
        <f aca="false">IFERROR(__xludf.dummyfunction("""COMPUTED_VALUE"""),"Se informa que en la actualidad se está trabajando en el sistema Sinergy, se envía instructivo de funcionamiento de la herramienta Sinergy. Se hace verificación directa del sistema, la técnico que lo maneja informa que la información de las incapacidades "&amp;"es transferida mediante un archivo plano que proviene del excel base que ella alimenta diariamente, con toda la información de la incapacidad y sinergy ya tiene parametrizada toda la información necesaria para hacer la liquidación de la incapacidad.  Dado"&amp;" que hay información de esta parametrización que es crítica y no se describe en el instructivo enviado, se solicita el soporte para sustentar el funcionamiento del proceso y del sistema de información con los debidos controles.")</f>
        <v>Se informa que en la actualidad se está trabajando en el sistema Sinergy, se envía instructivo de funcionamiento de la herramienta Sinergy. Se hace verificación directa del sistema, la técnico que lo maneja informa que la información de las incapacidades es transferida mediante un archivo plano que proviene del excel base que ella alimenta diariamente, con toda la información de la incapacidad y sinergy ya tiene parametrizada toda la información necesaria para hacer la liquidación de la incapacidad.  Dado que hay información de esta parametrización que es crítica y no se describe en el instructivo enviado, se solicita el soporte para sustentar el funcionamiento del proceso y del sistema de información con los debidos controles.</v>
      </c>
      <c r="F35" s="0" t="str">
        <f aca="false">IFERROR(__xludf.dummyfunction("""COMPUTED_VALUE"""),"Atrasado")</f>
        <v>Atrasado</v>
      </c>
    </row>
    <row r="36" customFormat="false" ht="14.25" hidden="false" customHeight="false" outlineLevel="0" collapsed="false">
      <c r="A36" s="18" t="str">
        <f aca="false">IFERROR(MID(D36,1,FIND("|",D36)-1)&amp;"-"&amp;C36,"")</f>
        <v>AICI202006-22-2-1</v>
      </c>
      <c r="B36" s="19" t="n">
        <f aca="false">IFERROR(__xludf.dummyfunction("""COMPUTED_VALUE"""),44399)</f>
        <v>44399</v>
      </c>
      <c r="C36" s="0" t="n">
        <f aca="false">IFERROR(__xludf.dummyfunction("""COMPUTED_VALUE"""),1)</f>
        <v>1</v>
      </c>
      <c r="D36" s="0" t="str">
        <f aca="false">IFERROR(__xludf.dummyfunction("""COMPUTED_VALUE"""),"AICI202006-22-2| Consolidar la información de incapacidades en la herramienta INCAX, la cual permite el registro unificado y el control de la información de este proceso con las validaciones necesarias para aportar seguridad y confiabilidad al mismo. (01/"&amp;"01/2021 - 30/06/2021)")</f>
        <v>AICI202006-22-2| Consolidar la información de incapacidades en la herramienta INCAX, la cual permite el registro unificado y el control de la información de este proceso con las validaciones necesarias para aportar seguridad y confiabilidad al mismo. (01/01/2021 - 30/06/2021)</v>
      </c>
      <c r="E36" s="0" t="str">
        <f aca="false">IFERROR(__xludf.dummyfunction("""COMPUTED_VALUE"""),"Se informa que se adelantó  una  herramienta, la cual no fue efectiva, debido  al incumplimiento del ingeniero, se continúa con el archivo de excel mejorado y comparado con el sistema de información Sinergy. La profesional Marcela Iglesias informa que por"&amp;" ahora no será posible dar continuidad al tema de la herramienta INCAX.  Se le explica que debido a las actuales circunstancias y a que esta herramienta soportaba varias de las acciones del plan, se hace necesario generar una propuesta de acción que la re"&amp;"emplace y pasar una comunicación formal a la Oficina de Control Interno para hacer el cambio de dichas acciones. ")</f>
        <v>Se informa que se adelantó  una  herramienta, la cual no fue efectiva, debido  al incumplimiento del ingeniero, se continúa con el archivo de excel mejorado y comparado con el sistema de información Sinergy. La profesional Marcela Iglesias informa que por ahora no será posible dar continuidad al tema de la herramienta INCAX.  Se le explica que debido a las actuales circunstancias y a que esta herramienta soportaba varias de las acciones del plan, se hace necesario generar una propuesta de acción que la reemplace y pasar una comunicación formal a la Oficina de Control Interno para hacer el cambio de dichas acciones. </v>
      </c>
      <c r="F36" s="0" t="str">
        <f aca="false">IFERROR(__xludf.dummyfunction("""COMPUTED_VALUE"""),"Atrasado")</f>
        <v>Atrasado</v>
      </c>
    </row>
    <row r="37" customFormat="false" ht="14.25" hidden="false" customHeight="false" outlineLevel="0" collapsed="false">
      <c r="A37" s="18" t="str">
        <f aca="false">IFERROR(MID(D37,1,FIND("|",D37)-1)&amp;"-"&amp;C37,"")</f>
        <v>AICI202006-22-3-1</v>
      </c>
      <c r="B37" s="19" t="n">
        <f aca="false">IFERROR(__xludf.dummyfunction("""COMPUTED_VALUE"""),44399)</f>
        <v>44399</v>
      </c>
      <c r="C37" s="0" t="n">
        <f aca="false">IFERROR(__xludf.dummyfunction("""COMPUTED_VALUE"""),1)</f>
        <v>1</v>
      </c>
      <c r="D37" s="0" t="str">
        <f aca="false">IFERROR(__xludf.dummyfunction("""COMPUTED_VALUE"""),"AICI202006-22-3| Realizar una copia de seguridad semanal de la información consolidada, que se almacenará en un computador de la Dirección de Talento Humano para salvaguardar la información allí depositada (01/01/2021 - 30/06/2021)")</f>
        <v>AICI202006-22-3| Realizar una copia de seguridad semanal de la información consolidada, que se almacenará en un computador de la Dirección de Talento Humano para salvaguardar la información allí depositada (01/01/2021 - 30/06/2021)</v>
      </c>
      <c r="E37" s="0" t="str">
        <f aca="false">IFERROR(__xludf.dummyfunction("""COMPUTED_VALUE"""),"Se informa que en la actualidad se está trabajando en el sistema Sinergy, se envía instructivo de funcionamiento de la herramienta Sinergy. Se informa que toda la información de respaldo queda en un servidor que pertenece a la Subred y cuyo manejo está a "&amp;"cargo del área de sistemas.  No se evidencia soporte de la realización de backup  de los archivos manejados en el área de incapacidades, se debe presentar el soporte correspondiente.")</f>
        <v>Se informa que en la actualidad se está trabajando en el sistema Sinergy, se envía instructivo de funcionamiento de la herramienta Sinergy. Se informa que toda la información de respaldo queda en un servidor que pertenece a la Subred y cuyo manejo está a cargo del área de sistemas.  No se evidencia soporte de la realización de backup  de los archivos manejados en el área de incapacidades, se debe presentar el soporte correspondiente.</v>
      </c>
      <c r="F37" s="0" t="str">
        <f aca="false">IFERROR(__xludf.dummyfunction("""COMPUTED_VALUE"""),"Atrasado")</f>
        <v>Atrasado</v>
      </c>
    </row>
    <row r="38" customFormat="false" ht="14.25" hidden="false" customHeight="false" outlineLevel="0" collapsed="false">
      <c r="A38" s="18" t="str">
        <f aca="false">IFERROR(MID(D38,1,FIND("|",D38)-1)&amp;"-"&amp;C38,"")</f>
        <v>AICI202006-23-2-1</v>
      </c>
      <c r="B38" s="19" t="n">
        <f aca="false">IFERROR(__xludf.dummyfunction("""COMPUTED_VALUE"""),44399)</f>
        <v>44399</v>
      </c>
      <c r="C38" s="0" t="n">
        <f aca="false">IFERROR(__xludf.dummyfunction("""COMPUTED_VALUE"""),1)</f>
        <v>1</v>
      </c>
      <c r="D38" s="0" t="str">
        <f aca="false">IFERROR(__xludf.dummyfunction("""COMPUTED_VALUE"""),"AICI202006-23-2| Consolidar la información de incapacidades en la herramienta INCAX, la cual permite el registro unificado y el control de la información de este proceso con las validaciones necesarias para aportar seguridad y confiabilidad al mismo. (01/"&amp;"01/2021 - 30/06/2021)")</f>
        <v>AICI202006-23-2| Consolidar la información de incapacidades en la herramienta INCAX, la cual permite el registro unificado y el control de la información de este proceso con las validaciones necesarias para aportar seguridad y confiabilidad al mismo. (01/01/2021 - 30/06/2021)</v>
      </c>
      <c r="E38" s="0" t="str">
        <f aca="false">IFERROR(__xludf.dummyfunction("""COMPUTED_VALUE"""),"Se informa que en la actualidad se está trabajando en el sistema Sinergy, se envía instructivo de funcionamiento de la herramienta Sinergy. Se hace verificación directa del sistema, la técnico que lo maneja informa que la información de las incapacidades "&amp;"es transferida mediante un archivo plano que proviene del excel base que ella alimenta diariamente, con toda la información de la incapacidad y sinergy ya tiene parametrizada toda la información necesaria para hacer la liquidación de la incapacidad.  Dado"&amp;" que hay información de esta parametrización que es crítica y no se describe en el instructivo enviado, se solicita el soporte para sustentar el funcionamiento del proceso y del sistema de información con los debidos controles.")</f>
        <v>Se informa que en la actualidad se está trabajando en el sistema Sinergy, se envía instructivo de funcionamiento de la herramienta Sinergy. Se hace verificación directa del sistema, la técnico que lo maneja informa que la información de las incapacidades es transferida mediante un archivo plano que proviene del excel base que ella alimenta diariamente, con toda la información de la incapacidad y sinergy ya tiene parametrizada toda la información necesaria para hacer la liquidación de la incapacidad.  Dado que hay información de esta parametrización que es crítica y no se describe en el instructivo enviado, se solicita el soporte para sustentar el funcionamiento del proceso y del sistema de información con los debidos controles.</v>
      </c>
      <c r="F38" s="0" t="str">
        <f aca="false">IFERROR(__xludf.dummyfunction("""COMPUTED_VALUE"""),"Atrasado")</f>
        <v>Atrasado</v>
      </c>
    </row>
    <row r="39" customFormat="false" ht="14.25" hidden="false" customHeight="false" outlineLevel="0" collapsed="false">
      <c r="A39" s="18" t="str">
        <f aca="false">IFERROR(MID(D39,1,FIND("|",D39)-1)&amp;"-"&amp;C39,"")</f>
        <v>AICI202006-23-2-1</v>
      </c>
      <c r="B39" s="19" t="n">
        <f aca="false">IFERROR(__xludf.dummyfunction("""COMPUTED_VALUE"""),44399)</f>
        <v>44399</v>
      </c>
      <c r="C39" s="0" t="n">
        <f aca="false">IFERROR(__xludf.dummyfunction("""COMPUTED_VALUE"""),1)</f>
        <v>1</v>
      </c>
      <c r="D39" s="0" t="str">
        <f aca="false">IFERROR(__xludf.dummyfunction("""COMPUTED_VALUE"""),"AICI202006-23-2| Consolidar la información de incapacidades en la herramienta INCAX, la cual permite el registro unificado y el control de la información de este proceso con las validaciones necesarias para aportar seguridad y confiabilidad al mismo. (01/"&amp;"01/2021 - 30/06/2021)")</f>
        <v>AICI202006-23-2| Consolidar la información de incapacidades en la herramienta INCAX, la cual permite el registro unificado y el control de la información de este proceso con las validaciones necesarias para aportar seguridad y confiabilidad al mismo. (01/01/2021 - 30/06/2021)</v>
      </c>
      <c r="E39" s="0" t="str">
        <f aca="false">IFERROR(__xludf.dummyfunction("""COMPUTED_VALUE"""),"Se informa que se adelantó  una  herramienta, la cual no fue efectiva, debido  al incumplimiento del ingeniero, se continúa con el archivo de excel mejorado y comparado con el sistema de información Sinergy. La profesional Marcela Iglesias informa que por"&amp;" ahora no será posible dar continuidad al tema de la herramienta INCAX.  Se le explica que debido a las actuales circunstancias y a que esta herramienta soportaba varias de las acciones del plan, se hace necesario generar una propuesta de acción que la re"&amp;"emplace y pasar una comunicación formal a la Oficina de Control Interno para hacer el cambio de dichas acciones. ")</f>
        <v>Se informa que se adelantó  una  herramienta, la cual no fue efectiva, debido  al incumplimiento del ingeniero, se continúa con el archivo de excel mejorado y comparado con el sistema de información Sinergy. La profesional Marcela Iglesias informa que por ahora no será posible dar continuidad al tema de la herramienta INCAX.  Se le explica que debido a las actuales circunstancias y a que esta herramienta soportaba varias de las acciones del plan, se hace necesario generar una propuesta de acción que la reemplace y pasar una comunicación formal a la Oficina de Control Interno para hacer el cambio de dichas acciones. </v>
      </c>
      <c r="F39" s="0" t="str">
        <f aca="false">IFERROR(__xludf.dummyfunction("""COMPUTED_VALUE"""),"Atrasado")</f>
        <v>Atrasado</v>
      </c>
    </row>
    <row r="40" customFormat="false" ht="14.25" hidden="false" customHeight="false" outlineLevel="0" collapsed="false">
      <c r="A40" s="18" t="str">
        <f aca="false">IFERROR(MID(D40,1,FIND("|",D40)-1)&amp;"-"&amp;C40,"")</f>
        <v>AICI202006-24-1-1</v>
      </c>
      <c r="B40" s="19" t="n">
        <f aca="false">IFERROR(__xludf.dummyfunction("""COMPUTED_VALUE"""),44399)</f>
        <v>44399</v>
      </c>
      <c r="C40" s="0" t="n">
        <f aca="false">IFERROR(__xludf.dummyfunction("""COMPUTED_VALUE"""),1)</f>
        <v>1</v>
      </c>
      <c r="D40" s="0" t="str">
        <f aca="false">IFERROR(__xludf.dummyfunction("""COMPUTED_VALUE"""),"AICI202006-24-1| Unificar los archivos en Excel y manejarlos a través de la base INCAX donde se consolida la información manejando así un solo documento. (01/03/2021 - 30/06/2021)")</f>
        <v>AICI202006-24-1| Unificar los archivos en Excel y manejarlos a través de la base INCAX donde se consolida la información manejando así un solo documento. (01/03/2021 - 30/06/2021)</v>
      </c>
      <c r="E40" s="0" t="str">
        <f aca="false">IFERROR(__xludf.dummyfunction("""COMPUTED_VALUE"""),"Se informa que se adelantó  una  herramienta, la cual no fue efectiva, debido  al incumplimiento del ingeniero, se continúa con el archivo de excel mejorado y comparado con el sistema de información Sinergy. La profesional Marcela Iglesias informa que por"&amp;" ahora no será posible dar continuidad al tema de la herramienta INCAX.  Se le explica que debido a las actuales circunstancias y a que esta herramienta soportaba varias de las acciones del plan, se hace necesario generar una propuesta de acción que la re"&amp;"emplace y pasar una comunicación formal a la Oficina de Control Interno para hacer el cambio de dichas acciones. ")</f>
        <v>Se informa que se adelantó  una  herramienta, la cual no fue efectiva, debido  al incumplimiento del ingeniero, se continúa con el archivo de excel mejorado y comparado con el sistema de información Sinergy. La profesional Marcela Iglesias informa que por ahora no será posible dar continuidad al tema de la herramienta INCAX.  Se le explica que debido a las actuales circunstancias y a que esta herramienta soportaba varias de las acciones del plan, se hace necesario generar una propuesta de acción que la reemplace y pasar una comunicación formal a la Oficina de Control Interno para hacer el cambio de dichas acciones. </v>
      </c>
      <c r="F40" s="0" t="str">
        <f aca="false">IFERROR(__xludf.dummyfunction("""COMPUTED_VALUE"""),"Atrasado")</f>
        <v>Atrasado</v>
      </c>
    </row>
    <row r="41" customFormat="false" ht="14.25" hidden="false" customHeight="false" outlineLevel="0" collapsed="false">
      <c r="A41" s="18" t="str">
        <f aca="false">IFERROR(MID(D41,1,FIND("|",D41)-1)&amp;"-"&amp;C41,"")</f>
        <v>AICI202006-25-1-1</v>
      </c>
      <c r="B41" s="19" t="n">
        <f aca="false">IFERROR(__xludf.dummyfunction("""COMPUTED_VALUE"""),44399)</f>
        <v>44399</v>
      </c>
      <c r="C41" s="0" t="n">
        <f aca="false">IFERROR(__xludf.dummyfunction("""COMPUTED_VALUE"""),1)</f>
        <v>1</v>
      </c>
      <c r="D41" s="0" t="str">
        <f aca="false">IFERROR(__xludf.dummyfunction("""COMPUTED_VALUE"""),"AICI202006-25-1| Consolidar la información de incapacidades en la herramienta INCAX, la cual permite el registro unificado y el control de la información de este proceso con las validaciones necesarias para aportar seguridad y confiabilidad al mismo. (01/"&amp;"03/2021 - 30/06/2021)")</f>
        <v>AICI202006-25-1| Consolidar la información de incapacidades en la herramienta INCAX, la cual permite el registro unificado y el control de la información de este proceso con las validaciones necesarias para aportar seguridad y confiabilidad al mismo. (01/03/2021 - 30/06/2021)</v>
      </c>
      <c r="E41" s="0" t="str">
        <f aca="false">IFERROR(__xludf.dummyfunction("""COMPUTED_VALUE"""),"Se informa que se adelantó  una  herramienta, la cual no fue efectiva, debido  al incumplimiento del ingeniero, se continúa con el archivo de excel mejorado y comparado con el sistema de información Sinergy. La profesional Marcela Iglesias informa que por"&amp;" ahora no será posible dar continuidad al tema de la herramienta INCAX.  Se le explica que debido a las actuales circunstancias y a que esta herramienta soportaba varias de las acciones del plan, se hace necesario generar una propuesta de acción que la re"&amp;"emplace y pasar una comunicación formal a la Oficina de Control Interno para hacer el cambio de dichas acciones. ")</f>
        <v>Se informa que se adelantó  una  herramienta, la cual no fue efectiva, debido  al incumplimiento del ingeniero, se continúa con el archivo de excel mejorado y comparado con el sistema de información Sinergy. La profesional Marcela Iglesias informa que por ahora no será posible dar continuidad al tema de la herramienta INCAX.  Se le explica que debido a las actuales circunstancias y a que esta herramienta soportaba varias de las acciones del plan, se hace necesario generar una propuesta de acción que la reemplace y pasar una comunicación formal a la Oficina de Control Interno para hacer el cambio de dichas acciones. </v>
      </c>
      <c r="F41" s="0" t="str">
        <f aca="false">IFERROR(__xludf.dummyfunction("""COMPUTED_VALUE"""),"Atrasado")</f>
        <v>Atrasado</v>
      </c>
    </row>
    <row r="42" customFormat="false" ht="14.25" hidden="false" customHeight="false" outlineLevel="0" collapsed="false">
      <c r="A42" s="18" t="str">
        <f aca="false">IFERROR(MID(D42,1,FIND("|",D42)-1)&amp;"-"&amp;C42,"")</f>
        <v>AICI202006-25-2-1</v>
      </c>
      <c r="B42" s="19" t="n">
        <f aca="false">IFERROR(__xludf.dummyfunction("""COMPUTED_VALUE"""),44399)</f>
        <v>44399</v>
      </c>
      <c r="C42" s="0" t="n">
        <f aca="false">IFERROR(__xludf.dummyfunction("""COMPUTED_VALUE"""),1)</f>
        <v>1</v>
      </c>
      <c r="D42" s="0" t="str">
        <f aca="false">IFERROR(__xludf.dummyfunction("""COMPUTED_VALUE"""),"AICI202006-25-2| Realizar una copia de seguridad semanal de la información consolidada, que se almacenará en un computador de la Dirección de Talento Humano para salvaguardar la información allí depositada (01/03/2021 - 30/06/2021)")</f>
        <v>AICI202006-25-2| Realizar una copia de seguridad semanal de la información consolidada, que se almacenará en un computador de la Dirección de Talento Humano para salvaguardar la información allí depositada (01/03/2021 - 30/06/2021)</v>
      </c>
      <c r="E42" s="0" t="str">
        <f aca="false">IFERROR(__xludf.dummyfunction("""COMPUTED_VALUE"""),"Se informa que en la actualidad se está trabajando en el sistema Sinergy, se envía instructivo de funcionamiento de la herramienta Sinergy. Se informa que toda la información de respaldo queda en un servidor que pertenece a la Subred y cuyo manejo está a "&amp;"cargo del área de sistemas.  No se evidencia soporte de la realización de backup  de los archivos manejados en el área de incapacidades, se debe presentar el soporte correspondiente.")</f>
        <v>Se informa que en la actualidad se está trabajando en el sistema Sinergy, se envía instructivo de funcionamiento de la herramienta Sinergy. Se informa que toda la información de respaldo queda en un servidor que pertenece a la Subred y cuyo manejo está a cargo del área de sistemas.  No se evidencia soporte de la realización de backup  de los archivos manejados en el área de incapacidades, se debe presentar el soporte correspondiente.</v>
      </c>
      <c r="F42" s="0" t="str">
        <f aca="false">IFERROR(__xludf.dummyfunction("""COMPUTED_VALUE"""),"Atrasado")</f>
        <v>Atrasado</v>
      </c>
    </row>
    <row r="43" customFormat="false" ht="14.25" hidden="false" customHeight="false" outlineLevel="0" collapsed="false">
      <c r="A43" s="18" t="str">
        <f aca="false">IFERROR(MID(D43,1,FIND("|",D43)-1)&amp;"-"&amp;C43,"")</f>
        <v>AICI202006-26-1-1</v>
      </c>
      <c r="B43" s="19" t="n">
        <f aca="false">IFERROR(__xludf.dummyfunction("""COMPUTED_VALUE"""),44399)</f>
        <v>44399</v>
      </c>
      <c r="C43" s="0" t="n">
        <f aca="false">IFERROR(__xludf.dummyfunction("""COMPUTED_VALUE"""),1)</f>
        <v>1</v>
      </c>
      <c r="D43" s="0" t="str">
        <f aca="false">IFERROR(__xludf.dummyfunction("""COMPUTED_VALUE"""),"AICI202006-26-1| Implementar la herramienta tecnológica INCAX, para el control y e registro unificado de la información de incapacidades, con las validaciones necesarias para aportar seguridad y confiabilidad al proceso (01/03/2021 - 30/06/2021)")</f>
        <v>AICI202006-26-1| Implementar la herramienta tecnológica INCAX, para el control y e registro unificado de la información de incapacidades, con las validaciones necesarias para aportar seguridad y confiabilidad al proceso (01/03/2021 - 30/06/2021)</v>
      </c>
      <c r="E43" s="0" t="str">
        <f aca="false">IFERROR(__xludf.dummyfunction("""COMPUTED_VALUE"""),"Se informa que se adelantó  una  herramienta, la cual no fue efectiva, debido  al incumplimiento del ingeniero, se continúa con el archivo de excel mejorado y comparado con el sistema de información Sinergy. La profesional Marcela Iglesias informa que por"&amp;" ahora no será posible dar continuidad al tema de la herramienta INCAX.  Se le explica que debido a las actuales circunstancias y a que esta herramienta soportaba varias de las acciones del plan, se hace necesario generar una propuesta de acción que la re"&amp;"emplace y pasar una comunicación formal a la Oficina de Control Interno para hacer el cambio de dichas acciones. ")</f>
        <v>Se informa que se adelantó  una  herramienta, la cual no fue efectiva, debido  al incumplimiento del ingeniero, se continúa con el archivo de excel mejorado y comparado con el sistema de información Sinergy. La profesional Marcela Iglesias informa que por ahora no será posible dar continuidad al tema de la herramienta INCAX.  Se le explica que debido a las actuales circunstancias y a que esta herramienta soportaba varias de las acciones del plan, se hace necesario generar una propuesta de acción que la reemplace y pasar una comunicación formal a la Oficina de Control Interno para hacer el cambio de dichas acciones. </v>
      </c>
      <c r="F43" s="0" t="str">
        <f aca="false">IFERROR(__xludf.dummyfunction("""COMPUTED_VALUE"""),"Atrasado")</f>
        <v>Atrasado</v>
      </c>
    </row>
    <row r="44" customFormat="false" ht="14.25" hidden="false" customHeight="false" outlineLevel="0" collapsed="false">
      <c r="A44" s="18" t="str">
        <f aca="false">IFERROR(MID(D44,1,FIND("|",D44)-1)&amp;"-"&amp;C44,"")</f>
        <v>AICI202006-27-1-1</v>
      </c>
      <c r="B44" s="19" t="n">
        <f aca="false">IFERROR(__xludf.dummyfunction("""COMPUTED_VALUE"""),44399)</f>
        <v>44399</v>
      </c>
      <c r="C44" s="0" t="n">
        <f aca="false">IFERROR(__xludf.dummyfunction("""COMPUTED_VALUE"""),1)</f>
        <v>1</v>
      </c>
      <c r="D44" s="0" t="str">
        <f aca="false">IFERROR(__xludf.dummyfunction("""COMPUTED_VALUE"""),"AICI202006-27-1| Asignar a la profesional Marcela Iglesias para ejercer las labores de apoyo y controles, igualmente asignar a Adriana Cristancho líder de Nómina el monitoreo y seguimiento al proceso de Incapacidades (22/02/2021 - 15/03/2021)")</f>
        <v>AICI202006-27-1| Asignar a la profesional Marcela Iglesias para ejercer las labores de apoyo y controles, igualmente asignar a Adriana Cristancho líder de Nómina el monitoreo y seguimiento al proceso de Incapacidades (22/02/2021 - 15/03/2021)</v>
      </c>
      <c r="E44" s="0" t="str">
        <f aca="false">IFERROR(__xludf.dummyfunction("""COMPUTED_VALUE"""),"El seguimiento refiere que ya se ejecutó la acción y se asignaron las profesionales, pero no se envía ningún soporte de lo anterior ni de las actividades que ellas están desarrollando. Se deben soportar las actividades de control, monitoreo y seguimiento "&amp;"del proceso de incapacidades, realizadas por las profesionales")</f>
        <v>El seguimiento refiere que ya se ejecutó la acción y se asignaron las profesionales, pero no se envía ningún soporte de lo anterior ni de las actividades que ellas están desarrollando. Se deben soportar las actividades de control, monitoreo y seguimiento del proceso de incapacidades, realizadas por las profesionales</v>
      </c>
      <c r="F44" s="0" t="str">
        <f aca="false">IFERROR(__xludf.dummyfunction("""COMPUTED_VALUE"""),"Atrasado")</f>
        <v>Atrasado</v>
      </c>
    </row>
    <row r="45" customFormat="false" ht="14.25" hidden="false" customHeight="false" outlineLevel="0" collapsed="false">
      <c r="A45" s="18" t="str">
        <f aca="false">IFERROR(MID(D45,1,FIND("|",D45)-1)&amp;"-"&amp;C45,"")</f>
        <v>AICI202006-11-1-1</v>
      </c>
      <c r="B45" s="19" t="n">
        <f aca="false">IFERROR(__xludf.dummyfunction("""COMPUTED_VALUE"""),44399)</f>
        <v>44399</v>
      </c>
      <c r="C45" s="0" t="n">
        <f aca="false">IFERROR(__xludf.dummyfunction("""COMPUTED_VALUE"""),1)</f>
        <v>1</v>
      </c>
      <c r="D45" s="0" t="str">
        <f aca="false">IFERROR(__xludf.dummyfunction("""COMPUTED_VALUE"""),"AICI202006-11-1| Actualizar el instructivo de Incapacidades AP-TH-I-24-02 y solicitar al área de Calidad su normalización- Incluir en el instructivo la circularización que realizará el área de cartera anualmente (cobro cartera). (05/04/2021 - 31/08/2021)")</f>
        <v>AICI202006-11-1| Actualizar el instructivo de Incapacidades AP-TH-I-24-02 y solicitar al área de Calidad su normalización- Incluir en el instructivo la circularización que realizará el área de cartera anualmente (cobro cartera). (05/04/2021 - 31/08/2021)</v>
      </c>
      <c r="E45" s="0" t="str">
        <f aca="false">IFERROR(__xludf.dummyfunction("""COMPUTED_VALUE"""),"Se evidenció Borrador de INSTRUCTIVO DE INCAPACIDADES CON FACTURACION Y CARTERA. En este documento es necesario incluir  los controles de este proceso, describir como se va a hacer el cruce de la información de las facturas pagadas por la EPS y como estás"&amp;" se aplican a las incapacidades de cada funcionario, para que no se vuelva a caer en la misma condición evidenciada en la auditoría, en la cual no se sabía que incapacidades estaban pagas y cuales se estaban debiendo. ")</f>
        <v>Se evidenció Borrador de INSTRUCTIVO DE INCAPACIDADES CON FACTURACION Y CARTERA. En este documento es necesario incluir  los controles de este proceso, describir como se va a hacer el cruce de la información de las facturas pagadas por la EPS y como estás se aplican a las incapacidades de cada funcionario, para que no se vuelva a caer en la misma condición evidenciada en la auditoría, en la cual no se sabía que incapacidades estaban pagas y cuales se estaban debiendo. </v>
      </c>
      <c r="F45" s="0" t="str">
        <f aca="false">IFERROR(__xludf.dummyfunction("""COMPUTED_VALUE"""),"En desarrollo")</f>
        <v>En desarrollo</v>
      </c>
    </row>
    <row r="46" customFormat="false" ht="14.25" hidden="false" customHeight="false" outlineLevel="0" collapsed="false">
      <c r="A46" s="18" t="str">
        <f aca="false">IFERROR(MID(D46,1,FIND("|",D46)-1)&amp;"-"&amp;C46,"")</f>
        <v>AICI202006-12-1-1</v>
      </c>
      <c r="B46" s="19" t="n">
        <f aca="false">IFERROR(__xludf.dummyfunction("""COMPUTED_VALUE"""),44399)</f>
        <v>44399</v>
      </c>
      <c r="C46" s="0" t="n">
        <f aca="false">IFERROR(__xludf.dummyfunction("""COMPUTED_VALUE"""),1)</f>
        <v>1</v>
      </c>
      <c r="D46" s="0" t="str">
        <f aca="false">IFERROR(__xludf.dummyfunction("""COMPUTED_VALUE"""),"AICI202006-12-1| Actualizar el instructivo de Incapacidades AP-TH-I-24-02 donde se involucren las actividades relacionadas con las áreas financieras y solicitar al área de Calidad su normalización (05/04/2021 - 31/08/2021)")</f>
        <v>AICI202006-12-1| Actualizar el instructivo de Incapacidades AP-TH-I-24-02 donde se involucren las actividades relacionadas con las áreas financieras y solicitar al área de Calidad su normalización (05/04/2021 - 31/08/2021)</v>
      </c>
      <c r="E46" s="0" t="str">
        <f aca="false">IFERROR(__xludf.dummyfunction("""COMPUTED_VALUE"""),"Se evidenció Borrador de INSTRUCTIVO DE INCAPACIDADES CON FACTURACION Y CARTERA. En este documento es necesario incluir  los controles de este proceso, describir como se va a hacer el cruce de la información de las facturas pagadas por la EPS y como estás"&amp;" se aplican a las incapacidades de cada funcionario, para que no se vuelva a caer en la misma condición evidenciada en la auditoría, en la cual no se sabía que incapacidades estaban pagas y cuales se estaban debiendo. ")</f>
        <v>Se evidenció Borrador de INSTRUCTIVO DE INCAPACIDADES CON FACTURACION Y CARTERA. En este documento es necesario incluir  los controles de este proceso, describir como se va a hacer el cruce de la información de las facturas pagadas por la EPS y como estás se aplican a las incapacidades de cada funcionario, para que no se vuelva a caer en la misma condición evidenciada en la auditoría, en la cual no se sabía que incapacidades estaban pagas y cuales se estaban debiendo. </v>
      </c>
      <c r="F46" s="0" t="str">
        <f aca="false">IFERROR(__xludf.dummyfunction("""COMPUTED_VALUE"""),"En desarrollo")</f>
        <v>En desarrollo</v>
      </c>
    </row>
    <row r="47" customFormat="false" ht="14.25" hidden="false" customHeight="false" outlineLevel="0" collapsed="false">
      <c r="A47" s="18" t="str">
        <f aca="false">IFERROR(MID(D47,1,FIND("|",D47)-1)&amp;"-"&amp;C47,"")</f>
        <v>AICI202006-23-1-1</v>
      </c>
      <c r="B47" s="19" t="n">
        <f aca="false">IFERROR(__xludf.dummyfunction("""COMPUTED_VALUE"""),44399)</f>
        <v>44399</v>
      </c>
      <c r="C47" s="0" t="n">
        <f aca="false">IFERROR(__xludf.dummyfunction("""COMPUTED_VALUE"""),1)</f>
        <v>1</v>
      </c>
      <c r="D47" s="0" t="str">
        <f aca="false">IFERROR(__xludf.dummyfunction("""COMPUTED_VALUE"""),"AICI202006-23-1| Implementar el sistema Sinergy para la liquidación de las incapacidades de acuerdo a la información reportada en el documentos emitido por la EPS. (01/01/2021 - 30/06/2021)")</f>
        <v>AICI202006-23-1| Implementar el sistema Sinergy para la liquidación de las incapacidades de acuerdo a la información reportada en el documentos emitido por la EPS. (01/01/2021 - 30/06/2021)</v>
      </c>
      <c r="E47" s="0" t="str">
        <f aca="false">IFERROR(__xludf.dummyfunction("""COMPUTED_VALUE"""),"Se informa que en la actualidad se está trabajando en el sistema Sinergy, se envía instructivo de funcionamiento de la herramienta Sinergy. Se hace verificación directa del sistema, la técnico que lo maneja informa que la información de las incapacidades "&amp;"es transferida mediante un archivo plano que proviene del excel base que ella alimenta diariamente, con toda la información de la incapacidad y sinergy ya tiene parametrizada toda la información necesaria para hacer la liquidación de la incapacidad.  Dado"&amp;" que hay información de esta parametrización que es crítica y no se describe en el instructivo enviado, se solicita el soporte para sustentar el funcionamiento del proceso y del sistema de información con los debidos controles.")</f>
        <v>Se informa que en la actualidad se está trabajando en el sistema Sinergy, se envía instructivo de funcionamiento de la herramienta Sinergy. Se hace verificación directa del sistema, la técnico que lo maneja informa que la información de las incapacidades es transferida mediante un archivo plano que proviene del excel base que ella alimenta diariamente, con toda la información de la incapacidad y sinergy ya tiene parametrizada toda la información necesaria para hacer la liquidación de la incapacidad.  Dado que hay información de esta parametrización que es crítica y no se describe en el instructivo enviado, se solicita el soporte para sustentar el funcionamiento del proceso y del sistema de información con los debidos controles.</v>
      </c>
      <c r="F47" s="0" t="str">
        <f aca="false">IFERROR(__xludf.dummyfunction("""COMPUTED_VALUE"""),"Atrasado")</f>
        <v>Atrasado</v>
      </c>
    </row>
    <row r="48" customFormat="false" ht="14.25" hidden="false" customHeight="false" outlineLevel="0" collapsed="false">
      <c r="A48" s="18" t="str">
        <f aca="false">IFERROR(MID(D48,1,FIND("|",D48)-1)&amp;"-"&amp;C48,"")</f>
        <v>AICI202006-1-1-2</v>
      </c>
      <c r="B48" s="19" t="n">
        <f aca="false">IFERROR(__xludf.dummyfunction("""COMPUTED_VALUE"""),44476)</f>
        <v>44476</v>
      </c>
      <c r="C48" s="0" t="n">
        <f aca="false">IFERROR(__xludf.dummyfunction("""COMPUTED_VALUE"""),2)</f>
        <v>2</v>
      </c>
      <c r="D48" s="0" t="str">
        <f aca="false">IFERROR(__xludf.dummyfunction("""COMPUTED_VALUE"""),"AICI202006-1-1| Solicitar al área de comunicaciones la socialización a cada uno de los correos de los funcionarios el instructivo de incapacidades - (05/04/2021 - 31/08/2021)")</f>
        <v>AICI202006-1-1| Solicitar al área de comunicaciones la socialización a cada uno de los correos de los funcionarios el instructivo de incapacidades - (05/04/2021 - 31/08/2021)</v>
      </c>
      <c r="E48" s="0" t="str">
        <f aca="false">IFERROR(__xludf.dummyfunction("""COMPUTED_VALUE"""),"Se socializó nueva pieza comunicativa en el mes de septiembre 2021. ver soporte")</f>
        <v>Se socializó nueva pieza comunicativa en el mes de septiembre 2021. ver soporte</v>
      </c>
      <c r="F48" s="0" t="str">
        <f aca="false">IFERROR(__xludf.dummyfunction("""COMPUTED_VALUE"""),"Completo")</f>
        <v>Completo</v>
      </c>
    </row>
    <row r="49" customFormat="false" ht="14.25" hidden="false" customHeight="false" outlineLevel="0" collapsed="false">
      <c r="A49" s="18" t="str">
        <f aca="false">IFERROR(MID(D49,1,FIND("|",D49)-1)&amp;"-"&amp;C49,"")</f>
        <v>AICI202006-1-2-2</v>
      </c>
      <c r="B49" s="19" t="n">
        <f aca="false">IFERROR(__xludf.dummyfunction("""COMPUTED_VALUE"""),44476)</f>
        <v>44476</v>
      </c>
      <c r="C49" s="0" t="n">
        <f aca="false">IFERROR(__xludf.dummyfunction("""COMPUTED_VALUE"""),2)</f>
        <v>2</v>
      </c>
      <c r="D49" s="0" t="str">
        <f aca="false">IFERROR(__xludf.dummyfunction("""COMPUTED_VALUE"""),"AICI202006-1-2| Enviar la circular de incapacidades para el cumplimento del reporte mensual por cada una de las áreas (05/04/2021 - 31/08/2021)")</f>
        <v>AICI202006-1-2| Enviar la circular de incapacidades para el cumplimento del reporte mensual por cada una de las áreas (05/04/2021 - 31/08/2021)</v>
      </c>
      <c r="E49" s="0" t="str">
        <f aca="false">IFERROR(__xludf.dummyfunction("""COMPUTED_VALUE"""),"Se cumplió con Circular No. 016 del 21 de Septiembre de 2021 firmada y socializada en los correos institucionales. ver soporte.")</f>
        <v>Se cumplió con Circular No. 016 del 21 de Septiembre de 2021 firmada y socializada en los correos institucionales. ver soporte.</v>
      </c>
      <c r="F49" s="0" t="str">
        <f aca="false">IFERROR(__xludf.dummyfunction("""COMPUTED_VALUE"""),"Completo")</f>
        <v>Completo</v>
      </c>
    </row>
    <row r="50" customFormat="false" ht="14.25" hidden="false" customHeight="false" outlineLevel="0" collapsed="false">
      <c r="A50" s="18" t="str">
        <f aca="false">IFERROR(MID(D50,1,FIND("|",D50)-1)&amp;"-"&amp;C50,"")</f>
        <v>AICI202006-5-2-2</v>
      </c>
      <c r="B50" s="19" t="n">
        <f aca="false">IFERROR(__xludf.dummyfunction("""COMPUTED_VALUE"""),44476)</f>
        <v>44476</v>
      </c>
      <c r="C50" s="0" t="n">
        <f aca="false">IFERROR(__xludf.dummyfunction("""COMPUTED_VALUE"""),2)</f>
        <v>2</v>
      </c>
      <c r="D50" s="0" t="str">
        <f aca="false">IFERROR(__xludf.dummyfunction("""COMPUTED_VALUE"""),"AICI202006-5-2| Realizar conciliaciones mensuales con las áreas financieras como cartera, contabilidad y facturación. (05/04/2021 - 30/11/2021)")</f>
        <v>AICI202006-5-2| Realizar conciliaciones mensuales con las áreas financieras como cartera, contabilidad y facturación. (05/04/2021 - 30/11/2021)</v>
      </c>
      <c r="E50" s="0" t="str">
        <f aca="false">IFERROR(__xludf.dummyfunction("""COMPUTED_VALUE"""),"Se enviaron actas de conciliaciones realizadas entre el área de nómina, facturación y cartera de los meses de marzo, abril, mayo, junio, julio y agosto de 2021,  se evidencia que estas actas de conciliación no se encuentran firmadas por la dirección de ta"&amp;"lento humano y adicionalmente  algunas actas  no evidencian  firma de asistencia  de algunos de los profesionales de nomina tal como lo solicita el instructivo de incapacidades, por lo que es importante hacer los ajustes correspondientes. Se anexan soport"&amp;"es. (no se suben actas de agosto porque el aplicativo no lo permite)")</f>
        <v>Se enviaron actas de conciliaciones realizadas entre el área de nómina, facturación y cartera de los meses de marzo, abril, mayo, junio, julio y agosto de 2021,  se evidencia que estas actas de conciliación no se encuentran firmadas por la dirección de talento humano y adicionalmente  algunas actas  no evidencian  firma de asistencia  de algunos de los profesionales de nomina tal como lo solicita el instructivo de incapacidades, por lo que es importante hacer los ajustes correspondientes. Se anexan soportes. (no se suben actas de agosto porque el aplicativo no lo permite)</v>
      </c>
      <c r="F50" s="0" t="str">
        <f aca="false">IFERROR(__xludf.dummyfunction("""COMPUTED_VALUE"""),"En desarrollo")</f>
        <v>En desarrollo</v>
      </c>
    </row>
    <row r="51" customFormat="false" ht="14.25" hidden="false" customHeight="false" outlineLevel="0" collapsed="false">
      <c r="A51" s="18" t="str">
        <f aca="false">IFERROR(MID(D51,1,FIND("|",D51)-1)&amp;"-"&amp;C51,"")</f>
        <v>AICI202006-5-1-2</v>
      </c>
      <c r="B51" s="19" t="n">
        <f aca="false">IFERROR(__xludf.dummyfunction("""COMPUTED_VALUE"""),44476)</f>
        <v>44476</v>
      </c>
      <c r="C51" s="0" t="n">
        <f aca="false">IFERROR(__xludf.dummyfunction("""COMPUTED_VALUE"""),2)</f>
        <v>2</v>
      </c>
      <c r="D51" s="0" t="str">
        <f aca="false">IFERROR(__xludf.dummyfunction("""COMPUTED_VALUE"""),"AICI202006-5-1| Realizar análisis cuidadoso de los riesgos que pueden presentarse en la ejecución del procedimiento de incapacidades... (05/04/2021 - 30/11/2021)")</f>
        <v>AICI202006-5-1| Realizar análisis cuidadoso de los riesgos que pueden presentarse en la ejecución del procedimiento de incapacidades... (05/04/2021 - 30/11/2021)</v>
      </c>
      <c r="E51" s="0" t="str">
        <f aca="false">IFERROR(__xludf.dummyfunction("""COMPUTED_VALUE"""),"Se informa  que con el Instructivo de incapacidades se detalla y aclara el proceso de incapacidades, incluyendo las incapacidades superiores a 180 dias, donde se aclara el pago de estas incapacidades. Con la base de registro y sus bloqueos minimiza riesgo"&amp;"s de digitación y pagos. La  explicación  anterior no corresponde al análisis de riesgos propuesto en la acción , por lo tanto no  hay argumentos para levantar el hallazgo.")</f>
        <v>Se informa  que con el Instructivo de incapacidades se detalla y aclara el proceso de incapacidades, incluyendo las incapacidades superiores a 180 dias, donde se aclara el pago de estas incapacidades. Con la base de registro y sus bloqueos minimiza riesgos de digitación y pagos. La  explicación  anterior no corresponde al análisis de riesgos propuesto en la acción , por lo tanto no  hay argumentos para levantar el hallazgo.</v>
      </c>
      <c r="F51" s="0" t="str">
        <f aca="false">IFERROR(__xludf.dummyfunction("""COMPUTED_VALUE"""),"En desarrollo")</f>
        <v>En desarrollo</v>
      </c>
    </row>
    <row r="52" customFormat="false" ht="14.25" hidden="false" customHeight="false" outlineLevel="0" collapsed="false">
      <c r="A52" s="18" t="str">
        <f aca="false">IFERROR(MID(D52,1,FIND("|",D52)-1)&amp;"-"&amp;C52,"")</f>
        <v>AICI202006-5-3-2</v>
      </c>
      <c r="B52" s="19" t="n">
        <f aca="false">IFERROR(__xludf.dummyfunction("""COMPUTED_VALUE"""),44476)</f>
        <v>44476</v>
      </c>
      <c r="C52" s="0" t="n">
        <f aca="false">IFERROR(__xludf.dummyfunction("""COMPUTED_VALUE"""),2)</f>
        <v>2</v>
      </c>
      <c r="D52" s="0" t="str">
        <f aca="false">IFERROR(__xludf.dummyfunction("""COMPUTED_VALUE"""),"AICI202006-5-3| Realizar reuiniones con los abogados del área de Talento Humano para la idenficación de los riesgos jurídicos. (05/04/2021 - 30/11/2021)")</f>
        <v>AICI202006-5-3| Realizar reuiniones con los abogados del área de Talento Humano para la idenficación de los riesgos jurídicos. (05/04/2021 - 30/11/2021)</v>
      </c>
      <c r="E52" s="0" t="str">
        <f aca="false">IFERROR(__xludf.dummyfunction("""COMPUTED_VALUE"""),"Se informa para la acción; ""Se encuentra en la Intranet el instructivo de Incapacidades normalizado AP-TH-I-24-03 16/09/2021, trabajado y revisado por los abogados - soportes por correo electrónico de revisión y trabaojo""  lo anterior no responde a la r"&amp;"ealización de reuniones para identificación de riesgos jurídicos propuesta en la acción, por lo tanto no aplica para soportar el levantamiento del hallazgo. ")</f>
        <v>Se informa para la acción; "Se encuentra en la Intranet el instructivo de Incapacidades normalizado AP-TH-I-24-03 16/09/2021, trabajado y revisado por los abogados - soportes por correo electrónico de revisión y trabaojo"  lo anterior no responde a la realización de reuniones para identificación de riesgos jurídicos propuesta en la acción, por lo tanto no aplica para soportar el levantamiento del hallazgo. </v>
      </c>
      <c r="F52" s="0" t="str">
        <f aca="false">IFERROR(__xludf.dummyfunction("""COMPUTED_VALUE"""),"En desarrollo")</f>
        <v>En desarrollo</v>
      </c>
    </row>
    <row r="53" customFormat="false" ht="14.25" hidden="false" customHeight="false" outlineLevel="0" collapsed="false">
      <c r="A53" s="18" t="str">
        <f aca="false">IFERROR(MID(D53,1,FIND("|",D53)-1)&amp;"-"&amp;C53,"")</f>
        <v>AICI202006-6-1-2</v>
      </c>
      <c r="B53" s="19" t="n">
        <f aca="false">IFERROR(__xludf.dummyfunction("""COMPUTED_VALUE"""),44476)</f>
        <v>44476</v>
      </c>
      <c r="C53" s="0" t="n">
        <f aca="false">IFERROR(__xludf.dummyfunction("""COMPUTED_VALUE"""),2)</f>
        <v>2</v>
      </c>
      <c r="D53" s="0" t="str">
        <f aca="false">IFERROR(__xludf.dummyfunction("""COMPUTED_VALUE"""),"AICI202006-6-1| Realizar un muestreo trimestral de los registros de incapacidades, con el fin de identificar los posibles errores generados en el proceso y tomar los correctivos necesarios. (05/04/2021 - 30/11/2021)")</f>
        <v>AICI202006-6-1| Realizar un muestreo trimestral de los registros de incapacidades, con el fin de identificar los posibles errores generados en el proceso y tomar los correctivos necesarios. (05/04/2021 - 30/11/2021)</v>
      </c>
      <c r="E53" s="0" t="str">
        <f aca="false">IFERROR(__xludf.dummyfunction("""COMPUTED_VALUE"""),"Nota: La acción inicial que involucraba la implementación de INCAX fue cambiada por solicitud oficial de orfeo a OCI realizada por Talento Humano, debido a que la misma no pudo ser adelantada por terminación del contrato del ing. encargado de INCAX. Dicho"&amp;" cambio fue consensuado por la Oficina de Control Interno.
Se informa para este seguimiento que se realizó ""Verificación de las incapacidades liquidadas con el certificado físico de incapacidad"" no se anexan soportes.   Lo anterior no corresponde con la"&amp;" actividad planteada para mitigar los riesgos, tal como se menciona en la no conformidad. Por lo tanto no se puede levantar el hallazgo.")</f>
        <v>Nota: La acción inicial que involucraba la implementación de INCAX fue cambiada por solicitud oficial de orfeo a OCI realizada por Talento Humano, debido a que la misma no pudo ser adelantada por terminación del contrato del ing. encargado de INCAX. Dicho cambio fue consensuado por la Oficina de Control Interno.
Se informa para este seguimiento que se realizó "Verificación de las incapacidades liquidadas con el certificado físico de incapacidad" no se anexan soportes.   Lo anterior no corresponde con la actividad planteada para mitigar los riesgos, tal como se menciona en la no conformidad. Por lo tanto no se puede levantar el hallazgo.</v>
      </c>
      <c r="F53" s="0" t="str">
        <f aca="false">IFERROR(__xludf.dummyfunction("""COMPUTED_VALUE"""),"En desarrollo")</f>
        <v>En desarrollo</v>
      </c>
    </row>
    <row r="54" customFormat="false" ht="14.25" hidden="false" customHeight="false" outlineLevel="0" collapsed="false">
      <c r="A54" s="18" t="str">
        <f aca="false">IFERROR(MID(D54,1,FIND("|",D54)-1)&amp;"-"&amp;C54,"")</f>
        <v>AICI202006-3-1-2</v>
      </c>
      <c r="B54" s="19" t="n">
        <f aca="false">IFERROR(__xludf.dummyfunction("""COMPUTED_VALUE"""),44476)</f>
        <v>44476</v>
      </c>
      <c r="C54" s="0" t="n">
        <f aca="false">IFERROR(__xludf.dummyfunction("""COMPUTED_VALUE"""),2)</f>
        <v>2</v>
      </c>
      <c r="D54" s="0" t="str">
        <f aca="false">IFERROR(__xludf.dummyfunction("""COMPUTED_VALUE"""),"AICI202006-3-1| Asignar a la profesional Marcela Iglesias para ejercer las labores de apoyo y control y a Adriana Cristancho para el monitoreo y seguimiento al proceso de Incapacidades. (22/02/2020 - 15/03/2021)")</f>
        <v>AICI202006-3-1| Asignar a la profesional Marcela Iglesias para ejercer las labores de apoyo y control y a Adriana Cristancho para el monitoreo y seguimiento al proceso de Incapacidades. (22/02/2020 - 15/03/2021)</v>
      </c>
      <c r="E54" s="0" t="str">
        <f aca="false">IFERROR(__xludf.dummyfunction("""COMPUTED_VALUE"""),"Se envió una presentación de powerpoint  en la cual se describe la estructura del área de nómina en la cual aparece como líder de nómina la profesional Adriana Cristancho contador público especialista en derecho laboral y seguridad socia y Marcela Iglesia"&amp;"s administradora de empresas - control de registro y recobro de incapacidades.
Dado que la presentación enviada no tiene soportes de ser un  ""documento formalmente avalado al interior de la Subred"" o viene acompañado de registros y/o documentos que demu"&amp;"estren el ejercicio del personal mencionado en la acción concertada, se considera  que esta presentación no proporciona evidencia suficiente  para el levantamiento de la no conformidad. Se indagó sobre soportes del proceso de supervisión y control que se "&amp;"está realizando a la gestión de incapacidades.  Se informó que el proceso de control está dado por las actividades que se realizan cotidianamente en el proceso y que allí se controlan los registros en la hoja única y en Sinergy. Se informa que en el cierr"&amp;"e de nómina  se realiza la información de las novedades de incapacidades. no se cuenta con soportes de la realización de estos  procesos de supervisión y control, su periodicidad o responsables.  Desde OCI se explica a la funcionaria Marcela Iglesias la i"&amp;"mportancia de dejar soportes del proceso de Supervisión y Control. ")</f>
        <v>Se envió una presentación de powerpoint  en la cual se describe la estructura del área de nómina en la cual aparece como líder de nómina la profesional Adriana Cristancho contador público especialista en derecho laboral y seguridad socia y Marcela Iglesias administradora de empresas - control de registro y recobro de incapacidades.
Dado que la presentación enviada no tiene soportes de ser un  "documento formalmente avalado al interior de la Subred" o viene acompañado de registros y/o documentos que demuestren el ejercicio del personal mencionado en la acción concertada, se considera  que esta presentación no proporciona evidencia suficiente  para el levantamiento de la no conformidad. Se indagó sobre soportes del proceso de supervisión y control que se está realizando a la gestión de incapacidades.  Se informó que el proceso de control está dado por las actividades que se realizan cotidianamente en el proceso y que allí se controlan los registros en la hoja única y en Sinergy. Se informa que en el cierre de nómina  se realiza la información de las novedades de incapacidades. no se cuenta con soportes de la realización de estos  procesos de supervisión y control, su periodicidad o responsables.  Desde OCI se explica a la funcionaria Marcela Iglesias la importancia de dejar soportes del proceso de Supervisión y Control. </v>
      </c>
      <c r="F54" s="0" t="str">
        <f aca="false">IFERROR(__xludf.dummyfunction("""COMPUTED_VALUE"""),"Atrasado")</f>
        <v>Atrasado</v>
      </c>
    </row>
    <row r="55" customFormat="false" ht="14.25" hidden="false" customHeight="false" outlineLevel="0" collapsed="false">
      <c r="A55" s="18" t="str">
        <f aca="false">IFERROR(MID(D55,1,FIND("|",D55)-1)&amp;"-"&amp;C55,"")</f>
        <v>AICI202006-8-1-2</v>
      </c>
      <c r="B55" s="19" t="n">
        <f aca="false">IFERROR(__xludf.dummyfunction("""COMPUTED_VALUE"""),44476)</f>
        <v>44476</v>
      </c>
      <c r="C55" s="0" t="n">
        <f aca="false">IFERROR(__xludf.dummyfunction("""COMPUTED_VALUE"""),2)</f>
        <v>2</v>
      </c>
      <c r="D55" s="0" t="str">
        <f aca="false">IFERROR(__xludf.dummyfunction("""COMPUTED_VALUE"""),"AICI202006-8-1| Asignar a Adriana Cristancho líder de Nómina para el monitoreo y seguimiento y a la profesional Marcela Iglesias para las labores de apoyo, gestión y control de al proceso incapacidades. (22/02/2021 - 15/03/2021)")</f>
        <v>AICI202006-8-1| Asignar a Adriana Cristancho líder de Nómina para el monitoreo y seguimiento y a la profesional Marcela Iglesias para las labores de apoyo, gestión y control de al proceso incapacidades. (22/02/2021 - 15/03/2021)</v>
      </c>
      <c r="E55" s="0" t="str">
        <f aca="false">IFERROR(__xludf.dummyfunction("""COMPUTED_VALUE"""),"""Se envió una presentación de powerpoint  en la cual se describe la estructura del área de nómina en la cual aparece como líder de nómina la profesional Adriana Cristancho contador público especialista en derecho laboral y seguridad socia y Marcela Igles"&amp;"ias administradora de empresas - control de registro y recobro de incapacidades.
Dado que la presentación enviada no tiene soportes de ser un  """"documento formalmente avalado al interior de la Subred"""" o viene acompañado de registros y/o documentos qu"&amp;"e demuestren el ejercicio del personal mencionado en la acción concertada, se considera  que esta presentación no proporciona evidencia suficiente  para el levantamiento de la no conformidad. Durante el seguimiento se informó que la Técnico Cindy Limas  y"&amp;"a no labora en el proceso y que se está buscando la persona que realice sus actividades, por lo tanto a la fecha el proceso no cuenta con el talento humano requerido.
Se indagó sobre soportes del proceso de supervisión y control que se está realizando a l"&amp;"a gestión de incapacidades.  Se informó que el proceso de control está dado por las actividades que se realizan cotidianamente en el proceso y que allí se controlan los registros en la hoja única y en Sinergy. Se informa que en el cierre de nómina  se rea"&amp;"liza la información de las novedades de incapacidades. no se cuenta con soportes de la realización de estos  procesos de supervisión y control, su periodicidad o responsables.  Desde OCI se explica a la funcionaria Marcela Iglesias la importancia de dejar"&amp;" soportes del proceso de Supervisión y Control. """)</f>
        <v>"Se envió una presentación de powerpoint  en la cual se describe la estructura del área de nómina en la cual aparece como líder de nómina la profesional Adriana Cristancho contador público especialista en derecho laboral y seguridad socia y Marcela Iglesias administradora de empresas - control de registro y recobro de incapacidades.
Dado que la presentación enviada no tiene soportes de ser un  ""documento formalmente avalado al interior de la Subred"" o viene acompañado de registros y/o documentos que demuestren el ejercicio del personal mencionado en la acción concertada, se considera  que esta presentación no proporciona evidencia suficiente  para el levantamiento de la no conformidad. Durante el seguimiento se informó que la Técnico Cindy Limas  ya no labora en el proceso y que se está buscando la persona que realice sus actividades, por lo tanto a la fecha el proceso no cuenta con el talento humano requerido.
Se indagó sobre soportes del proceso de supervisión y control que se está realizando a la gestión de incapacidades.  Se informó que el proceso de control está dado por las actividades que se realizan cotidianamente en el proceso y que allí se controlan los registros en la hoja única y en Sinergy. Se informa que en el cierre de nómina  se realiza la información de las novedades de incapacidades. no se cuenta con soportes de la realización de estos  procesos de supervisión y control, su periodicidad o responsables.  Desde OCI se explica a la funcionaria Marcela Iglesias la importancia de dejar soportes del proceso de Supervisión y Control. "</v>
      </c>
      <c r="F55" s="0" t="str">
        <f aca="false">IFERROR(__xludf.dummyfunction("""COMPUTED_VALUE"""),"Atrasado")</f>
        <v>Atrasado</v>
      </c>
    </row>
    <row r="56" customFormat="false" ht="14.25" hidden="false" customHeight="false" outlineLevel="0" collapsed="false">
      <c r="A56" s="18" t="str">
        <f aca="false">IFERROR(MID(D56,1,FIND("|",D56)-1)&amp;"-"&amp;C56,"")</f>
        <v>AICI202006-9-2-2</v>
      </c>
      <c r="B56" s="19" t="n">
        <f aca="false">IFERROR(__xludf.dummyfunction("""COMPUTED_VALUE"""),44476)</f>
        <v>44476</v>
      </c>
      <c r="C56" s="0" t="n">
        <f aca="false">IFERROR(__xludf.dummyfunction("""COMPUTED_VALUE"""),2)</f>
        <v>2</v>
      </c>
      <c r="D56" s="0" t="str">
        <f aca="false">IFERROR(__xludf.dummyfunction("""COMPUTED_VALUE"""),"AICI202006-9-2| Asignar un técnico para la recepción y validación de las incapacides remitidas a talento humano por los canales dispuestos para tal fin. (01/04/2021 - 15/04/2021)")</f>
        <v>AICI202006-9-2| Asignar un técnico para la recepción y validación de las incapacides remitidas a talento humano por los canales dispuestos para tal fin. (01/04/2021 - 15/04/2021)</v>
      </c>
      <c r="E56" s="0" t="str">
        <f aca="false">IFERROR(__xludf.dummyfunction("""COMPUTED_VALUE"""),"Se informa que las Incapacidades son recibidas por la Secretaría Luz Mira Forero, relacionadas y entregadas a la Técnica Cindy Limas. Se adjunta como soporte la planilla de comunicaciones oficiales que no permite evidenciar la revisión de los contenidos d"&amp;"e las incapacidades recibidas por el área por lo tanto no se evidencia cumplimiento de la acción.")</f>
        <v>Se informa que las Incapacidades son recibidas por la Secretaría Luz Mira Forero, relacionadas y entregadas a la Técnica Cindy Limas. Se adjunta como soporte la planilla de comunicaciones oficiales que no permite evidenciar la revisión de los contenidos de las incapacidades recibidas por el área por lo tanto no se evidencia cumplimiento de la acción.</v>
      </c>
      <c r="F56" s="0" t="str">
        <f aca="false">IFERROR(__xludf.dummyfunction("""COMPUTED_VALUE"""),"Atrasado")</f>
        <v>Atrasado</v>
      </c>
    </row>
    <row r="57" customFormat="false" ht="14.25" hidden="false" customHeight="false" outlineLevel="0" collapsed="false">
      <c r="A57" s="18" t="str">
        <f aca="false">IFERROR(MID(D57,1,FIND("|",D57)-1)&amp;"-"&amp;C57,"")</f>
        <v>AICI202006-10-1-2</v>
      </c>
      <c r="B57" s="19" t="n">
        <f aca="false">IFERROR(__xludf.dummyfunction("""COMPUTED_VALUE"""),44476)</f>
        <v>44476</v>
      </c>
      <c r="C57" s="0" t="n">
        <f aca="false">IFERROR(__xludf.dummyfunction("""COMPUTED_VALUE"""),2)</f>
        <v>2</v>
      </c>
      <c r="D57" s="0" t="str">
        <f aca="false">IFERROR(__xludf.dummyfunction("""COMPUTED_VALUE"""),"AICI202006-10-1| Actualizar el instructivo de Incapacidades AP-TH-I-24-02 y solicitar al área de Calidad su normalización - incluyendo los téminos de oportunidad de radicación de incapacidades (05/04/2021 - 31/08/2021)")</f>
        <v>AICI202006-10-1| Actualizar el instructivo de Incapacidades AP-TH-I-24-02 y solicitar al área de Calidad su normalización - incluyendo los téminos de oportunidad de radicación de incapacidades (05/04/2021 - 31/08/2021)</v>
      </c>
      <c r="E57" s="0" t="str">
        <f aca="false">IFERROR(__xludf.dummyfunction("""COMPUTED_VALUE"""),"Se evidenció Instructivo de Incapacidades normalizado AP-TH-I-24-03, en el cual  se describen las actividades realizadas en el procedimiento de incapacidades de la Subred Norte ESE., como recepción de incapacidades, control y diligenciamiento de registros"&amp;"   de la incapacidad, componentes del IBC definidos para cálculo de valores de la incapacidad, proceso de radicación de incapacidades ante los pagadores, tiempos y requisitos por cada tipo de pagador. ")</f>
        <v>Se evidenció Instructivo de Incapacidades normalizado AP-TH-I-24-03, en el cual  se describen las actividades realizadas en el procedimiento de incapacidades de la Subred Norte ESE., como recepción de incapacidades, control y diligenciamiento de registros   de la incapacidad, componentes del IBC definidos para cálculo de valores de la incapacidad, proceso de radicación de incapacidades ante los pagadores, tiempos y requisitos por cada tipo de pagador. </v>
      </c>
      <c r="F57" s="0" t="str">
        <f aca="false">IFERROR(__xludf.dummyfunction("""COMPUTED_VALUE"""),"Completo")</f>
        <v>Completo</v>
      </c>
    </row>
    <row r="58" customFormat="false" ht="14.25" hidden="false" customHeight="false" outlineLevel="0" collapsed="false">
      <c r="A58" s="18" t="str">
        <f aca="false">IFERROR(MID(D58,1,FIND("|",D58)-1)&amp;"-"&amp;C58,"")</f>
        <v>AICI202006-11-1-2</v>
      </c>
      <c r="B58" s="19" t="n">
        <f aca="false">IFERROR(__xludf.dummyfunction("""COMPUTED_VALUE"""),44476)</f>
        <v>44476</v>
      </c>
      <c r="C58" s="0" t="n">
        <f aca="false">IFERROR(__xludf.dummyfunction("""COMPUTED_VALUE"""),2)</f>
        <v>2</v>
      </c>
      <c r="D58" s="0" t="str">
        <f aca="false">IFERROR(__xludf.dummyfunction("""COMPUTED_VALUE"""),"AICI202006-11-1| Actualizar el instructivo de Incapacidades AP-TH-I-24-02 y solicitar al área de Calidad su normalización . (05/04/2021 - 31/08/2021)")</f>
        <v>AICI202006-11-1| Actualizar el instructivo de Incapacidades AP-TH-I-24-02 y solicitar al área de Calidad su normalización . (05/04/2021 - 31/08/2021)</v>
      </c>
      <c r="E58" s="0" t="str">
        <f aca="false">IFERROR(__xludf.dummyfunction("""COMPUTED_VALUE"""),"Se evidenció Instructivo de Incapacidades normalizado AP-TH-I-24-03, en el cual  se describen las actividades realizadas en el procedimiento de incapacidades de la Subred Norte ESE., como recepción de incapacidades, control y diligenciamiento de registros"&amp;"   de la incapacidad, componentes del IBC definidos para cálculo de valores de la incapacidad, proceso de radicación de incapacidades ante los pagadores. en el se describen las actividades de gestión de cobro de incapacidades y circularización por parte d"&amp;"e cartera.  ver soporte")</f>
        <v>Se evidenció Instructivo de Incapacidades normalizado AP-TH-I-24-03, en el cual  se describen las actividades realizadas en el procedimiento de incapacidades de la Subred Norte ESE., como recepción de incapacidades, control y diligenciamiento de registros   de la incapacidad, componentes del IBC definidos para cálculo de valores de la incapacidad, proceso de radicación de incapacidades ante los pagadores. en el se describen las actividades de gestión de cobro de incapacidades y circularización por parte de cartera.  ver soporte</v>
      </c>
      <c r="F58" s="0" t="str">
        <f aca="false">IFERROR(__xludf.dummyfunction("""COMPUTED_VALUE"""),"Completo")</f>
        <v>Completo</v>
      </c>
    </row>
    <row r="59" customFormat="false" ht="14.25" hidden="false" customHeight="false" outlineLevel="0" collapsed="false">
      <c r="A59" s="18" t="str">
        <f aca="false">IFERROR(MID(D59,1,FIND("|",D59)-1)&amp;"-"&amp;C59,"")</f>
        <v>AICI202006-12-1-2</v>
      </c>
      <c r="B59" s="19" t="n">
        <f aca="false">IFERROR(__xludf.dummyfunction("""COMPUTED_VALUE"""),44476)</f>
        <v>44476</v>
      </c>
      <c r="C59" s="0" t="n">
        <f aca="false">IFERROR(__xludf.dummyfunction("""COMPUTED_VALUE"""),2)</f>
        <v>2</v>
      </c>
      <c r="D59" s="0" t="str">
        <f aca="false">IFERROR(__xludf.dummyfunction("""COMPUTED_VALUE"""),"AICI202006-12-1| Actualizar el instructivo de Incapacidades AP-TH-I-24-02 donde se involucren las actividades relacionadas con las áreas financieras y solicitar al área de Calidad su normalización (05/04/2021 - 31/08/2021)")</f>
        <v>AICI202006-12-1| Actualizar el instructivo de Incapacidades AP-TH-I-24-02 donde se involucren las actividades relacionadas con las áreas financieras y solicitar al área de Calidad su normalización (05/04/2021 - 31/08/2021)</v>
      </c>
      <c r="E59" s="0" t="str">
        <f aca="false">IFERROR(__xludf.dummyfunction("""COMPUTED_VALUE"""),"Se evidenció Instructivo de Incapacidades normalizado AP-TH-I-24-03, en el cual  se describen las actividades realizadas en el procedimiento de incapacidades de la Subred Norte ESE., como recepción de incapacidades, control y diligenciamiento de registros"&amp;"   de la incapacidad, componentes del IBC degfinidos para cálculo de valores de la incapacidad, proceso de radicación de incapacidades ante los pagadores. en el se describen las actividades de gestión de cobro de incapacidades y circularización por parte "&amp;"de cartera y otras  actividades realizadas por el área Financiera.  ver soporte")</f>
        <v>Se evidenció Instructivo de Incapacidades normalizado AP-TH-I-24-03, en el cual  se describen las actividades realizadas en el procedimiento de incapacidades de la Subred Norte ESE., como recepción de incapacidades, control y diligenciamiento de registros   de la incapacidad, componentes del IBC degfinidos para cálculo de valores de la incapacidad, proceso de radicación de incapacidades ante los pagadores. en el se describen las actividades de gestión de cobro de incapacidades y circularización por parte de cartera y otras  actividades realizadas por el área Financiera.  ver soporte</v>
      </c>
      <c r="F59" s="0" t="str">
        <f aca="false">IFERROR(__xludf.dummyfunction("""COMPUTED_VALUE"""),"Completo")</f>
        <v>Completo</v>
      </c>
    </row>
    <row r="60" customFormat="false" ht="14.25" hidden="false" customHeight="false" outlineLevel="0" collapsed="false">
      <c r="A60" s="18" t="str">
        <f aca="false">IFERROR(MID(D60,1,FIND("|",D60)-1)&amp;"-"&amp;C60,"")</f>
        <v>AICI202006-13-1-2</v>
      </c>
      <c r="B60" s="19" t="n">
        <f aca="false">IFERROR(__xludf.dummyfunction("""COMPUTED_VALUE"""),44517)</f>
        <v>44517</v>
      </c>
      <c r="C60" s="0" t="n">
        <f aca="false">IFERROR(__xludf.dummyfunction("""COMPUTED_VALUE"""),2)</f>
        <v>2</v>
      </c>
      <c r="D60" s="0" t="str">
        <f aca="false">IFERROR(__xludf.dummyfunction("""COMPUTED_VALUE"""),"AICI202006-13-1| Incluír en el Instructivo el procedimiento de aplicación de pagos por funcionario. (01/03/2021 - 30/06/2021)")</f>
        <v>AICI202006-13-1| Incluír en el Instructivo el procedimiento de aplicación de pagos por funcionario. (01/03/2021 - 30/06/2021)</v>
      </c>
      <c r="E60" s="0" t="str">
        <f aca="false">IFERROR(__xludf.dummyfunction("""COMPUTED_VALUE"""),"Se  evidencia que el procedimiento de aplicación de pagos por funcionario se encuentra descrito en el instructivo de Incapacidades normalizado AP-TH-I-24-03 ")</f>
        <v>Se  evidencia que el procedimiento de aplicación de pagos por funcionario se encuentra descrito en el instructivo de Incapacidades normalizado AP-TH-I-24-03 </v>
      </c>
      <c r="F60" s="0" t="str">
        <f aca="false">IFERROR(__xludf.dummyfunction("""COMPUTED_VALUE"""),"Completo")</f>
        <v>Completo</v>
      </c>
    </row>
    <row r="61" customFormat="false" ht="14.25" hidden="false" customHeight="false" outlineLevel="0" collapsed="false">
      <c r="A61" s="18" t="str">
        <f aca="false">IFERROR(MID(D61,1,FIND("|",D61)-1)&amp;"-"&amp;C61,"")</f>
        <v>AICI202006-13-3-2</v>
      </c>
      <c r="B61" s="19" t="n">
        <f aca="false">IFERROR(__xludf.dummyfunction("""COMPUTED_VALUE"""),44518)</f>
        <v>44518</v>
      </c>
      <c r="C61" s="0" t="n">
        <f aca="false">IFERROR(__xludf.dummyfunction("""COMPUTED_VALUE"""),2)</f>
        <v>2</v>
      </c>
      <c r="D61" s="0" t="str">
        <f aca="false">IFERROR(__xludf.dummyfunction("""COMPUTED_VALUE"""),"AICI202006-13-3| Implementar el modulo de cartera del sistema de información Sinergy (01/10/2021 - 31/12/2021)")</f>
        <v>AICI202006-13-3| Implementar el modulo de cartera del sistema de información Sinergy (01/10/2021 - 31/12/2021)</v>
      </c>
      <c r="E61" s="0" t="str">
        <f aca="false">IFERROR(__xludf.dummyfunction("""COMPUTED_VALUE"""),"Como paso previo para la implementación del módulo se realiza capacitación el martes 14 de septiembre del módulo de cartera de Sinergy a los funcionarios encargados de su operación. Se adjunta acta.  Se informa que durante la implementación del módulo se "&amp;"presentaron varios errores, por lo cual se hizo requerimiento a Sinergy, para la revisión de los mismos, se anexa correo")</f>
        <v>Como paso previo para la implementación del módulo se realiza capacitación el martes 14 de septiembre del módulo de cartera de Sinergy a los funcionarios encargados de su operación. Se adjunta acta.  Se informa que durante la implementación del módulo se presentaron varios errores, por lo cual se hizo requerimiento a Sinergy, para la revisión de los mismos, se anexa correo</v>
      </c>
      <c r="F61" s="0" t="str">
        <f aca="false">IFERROR(__xludf.dummyfunction("""COMPUTED_VALUE"""),"En desarrollo")</f>
        <v>En desarrollo</v>
      </c>
    </row>
    <row r="62" customFormat="false" ht="14.25" hidden="false" customHeight="false" outlineLevel="0" collapsed="false">
      <c r="A62" s="18" t="str">
        <f aca="false">IFERROR(MID(D62,1,FIND("|",D62)-1)&amp;"-"&amp;C62,"")</f>
        <v>AICI202006-14-1-2</v>
      </c>
      <c r="B62" s="19" t="n">
        <f aca="false">IFERROR(__xludf.dummyfunction("""COMPUTED_VALUE"""),44518)</f>
        <v>44518</v>
      </c>
      <c r="C62" s="0" t="n">
        <f aca="false">IFERROR(__xludf.dummyfunction("""COMPUTED_VALUE"""),2)</f>
        <v>2</v>
      </c>
      <c r="D62" s="0" t="str">
        <f aca="false">IFERROR(__xludf.dummyfunction("""COMPUTED_VALUE"""),"AICI202006-14-1| Proponer que las diferencias presentadas en los IBC por los tiempos en la liquidación y reconocimiento de la incapacidad, cuenten con un margen de conciliación con contabilidad... (05/04/2021 - 31/08/2021)")</f>
        <v>AICI202006-14-1| Proponer que las diferencias presentadas en los IBC por los tiempos en la liquidación y reconocimiento de la incapacidad, cuenten con un margen de conciliación con contabilidad... (05/04/2021 - 31/08/2021)</v>
      </c>
      <c r="E62" s="0" t="str">
        <f aca="false">IFERROR(__xludf.dummyfunction("""COMPUTED_VALUE"""),"Se informa que ""Los valores son aplicados por entidad. En caso de presentar un mayor valor pagado se maneja en cartera como otros ingresos recuperación, valor menor se sigue cobrando el saldo a la entidad."" pero no se presenta ningún soporte de esta dec"&amp;"isión y de este procedimiento, por lo tanto no hay evidencia de cumplimiento.")</f>
        <v>Se informa que "Los valores son aplicados por entidad. En caso de presentar un mayor valor pagado se maneja en cartera como otros ingresos recuperación, valor menor se sigue cobrando el saldo a la entidad." pero no se presenta ningún soporte de esta decisión y de este procedimiento, por lo tanto no hay evidencia de cumplimiento.</v>
      </c>
      <c r="F62" s="0" t="str">
        <f aca="false">IFERROR(__xludf.dummyfunction("""COMPUTED_VALUE"""),"Atrasado")</f>
        <v>Atrasado</v>
      </c>
    </row>
    <row r="63" customFormat="false" ht="14.25" hidden="false" customHeight="false" outlineLevel="0" collapsed="false">
      <c r="A63" s="18" t="str">
        <f aca="false">IFERROR(MID(D63,1,FIND("|",D63)-1)&amp;"-"&amp;C63,"")</f>
        <v>AICI202006-15-1-2</v>
      </c>
      <c r="B63" s="19" t="n">
        <f aca="false">IFERROR(__xludf.dummyfunction("""COMPUTED_VALUE"""),44518)</f>
        <v>44518</v>
      </c>
      <c r="C63" s="0" t="n">
        <f aca="false">IFERROR(__xludf.dummyfunction("""COMPUTED_VALUE"""),2)</f>
        <v>2</v>
      </c>
      <c r="D63" s="0" t="str">
        <f aca="false">IFERROR(__xludf.dummyfunction("""COMPUTED_VALUE"""),"AICI202006-15-1| Publicar circular en la cual se divulgue a los funcionarios el proceso de incapacidades y sus requerimientos mínimos en caso de sobrepasar los 180 dias. (05/04/2021 - 31/08/2021)")</f>
        <v>AICI202006-15-1| Publicar circular en la cual se divulgue a los funcionarios el proceso de incapacidades y sus requerimientos mínimos en caso de sobrepasar los 180 dias. (05/04/2021 - 31/08/2021)</v>
      </c>
      <c r="E63" s="0" t="str">
        <f aca="false">IFERROR(__xludf.dummyfunction("""COMPUTED_VALUE"""),"Se informa  que se encuentra en la Intranet el instructivo de Incapacidades normalizado AP-TH-I-24-03 16/09/2021  / Circular No. 016 del 21 de Septiembre de 2021.  Al revisar los contenidos de estos 2 documentos no se evidencia la divulgación de requisito"&amp;"s mínimos  en caso de que las incapacidades sobre pasen los 180 días, tampoco mecanismos de asesoría  y cobro. tal como lo describe la no conformidad.  Por lo anterior no se cumple con la acción.")</f>
        <v>Se informa  que se encuentra en la Intranet el instructivo de Incapacidades normalizado AP-TH-I-24-03 16/09/2021  / Circular No. 016 del 21 de Septiembre de 2021.  Al revisar los contenidos de estos 2 documentos no se evidencia la divulgación de requisitos mínimos  en caso de que las incapacidades sobre pasen los 180 días, tampoco mecanismos de asesoría  y cobro. tal como lo describe la no conformidad.  Por lo anterior no se cumple con la acción.</v>
      </c>
      <c r="F63" s="0" t="str">
        <f aca="false">IFERROR(__xludf.dummyfunction("""COMPUTED_VALUE"""),"Atrasado")</f>
        <v>Atrasado</v>
      </c>
    </row>
    <row r="64" customFormat="false" ht="14.25" hidden="false" customHeight="false" outlineLevel="0" collapsed="false">
      <c r="A64" s="18" t="str">
        <f aca="false">IFERROR(MID(D64,1,FIND("|",D64)-1)&amp;"-"&amp;C64,"")</f>
        <v>AICI202006-15-2-2</v>
      </c>
      <c r="B64" s="19" t="n">
        <f aca="false">IFERROR(__xludf.dummyfunction("""COMPUTED_VALUE"""),44518)</f>
        <v>44518</v>
      </c>
      <c r="C64" s="0" t="n">
        <f aca="false">IFERROR(__xludf.dummyfunction("""COMPUTED_VALUE"""),2)</f>
        <v>2</v>
      </c>
      <c r="D64" s="0" t="str">
        <f aca="false">IFERROR(__xludf.dummyfunction("""COMPUTED_VALUE"""),"AICI202006-15-2| Incluir dentro del instructivo de incapacidades el tema, previas consultas legales. (05/04/2021 - 31/08/2021)")</f>
        <v>AICI202006-15-2| Incluir dentro del instructivo de incapacidades el tema, previas consultas legales. (05/04/2021 - 31/08/2021)</v>
      </c>
      <c r="E64" s="0" t="str">
        <f aca="false">IFERROR(__xludf.dummyfunction("""COMPUTED_VALUE"""),"Se informa que  "" Se encuentra en la Intranet el instructivo de Incapacidades normalizado AP-TH-I-24-03 16/09/2021"" Al revisar el instructivo de incapacidades no se evidencia que se describa el tema de asesoría y cobro a funcionarios que sobrepasan 180 "&amp;"días de incapacidad. por lo tanto no se evidencia cumplimiento de la acción.")</f>
        <v>Se informa que  " Se encuentra en la Intranet el instructivo de Incapacidades normalizado AP-TH-I-24-03 16/09/2021" Al revisar el instructivo de incapacidades no se evidencia que se describa el tema de asesoría y cobro a funcionarios que sobrepasan 180 días de incapacidad. por lo tanto no se evidencia cumplimiento de la acción.</v>
      </c>
      <c r="F64" s="0" t="str">
        <f aca="false">IFERROR(__xludf.dummyfunction("""COMPUTED_VALUE"""),"Atrasado")</f>
        <v>Atrasado</v>
      </c>
    </row>
    <row r="65" customFormat="false" ht="14.25" hidden="false" customHeight="false" outlineLevel="0" collapsed="false">
      <c r="A65" s="18" t="str">
        <f aca="false">IFERROR(MID(D65,1,FIND("|",D65)-1)&amp;"-"&amp;C65,"")</f>
        <v>AICI202006-16-1-2</v>
      </c>
      <c r="B65" s="19" t="n">
        <f aca="false">IFERROR(__xludf.dummyfunction("""COMPUTED_VALUE"""),44518)</f>
        <v>44518</v>
      </c>
      <c r="C65" s="0" t="n">
        <f aca="false">IFERROR(__xludf.dummyfunction("""COMPUTED_VALUE"""),2)</f>
        <v>2</v>
      </c>
      <c r="D65" s="0" t="str">
        <f aca="false">IFERROR(__xludf.dummyfunction("""COMPUTED_VALUE"""),"AICI202006-16-1| Realizar circularización por parte del área de cartera, sobre el cobro en el mes de marzo anualmente previo concepto jurídico para este tema (01/03/2021 - 30/04/2021)")</f>
        <v>AICI202006-16-1| Realizar circularización por parte del área de cartera, sobre el cobro en el mes de marzo anualmente previo concepto jurídico para este tema (01/03/2021 - 30/04/2021)</v>
      </c>
      <c r="E65" s="0" t="str">
        <f aca="false">IFERROR(__xludf.dummyfunction("""COMPUTED_VALUE"""),"Se encuentra en la Intranet el instructivo de Incapacidades normalizado AP-TH-I-24-03 16/09/2021 CIRCULARIZACIÓN anual por parte de cartera.")</f>
        <v>Se encuentra en la Intranet el instructivo de Incapacidades normalizado AP-TH-I-24-03 16/09/2021 CIRCULARIZACIÓN anual por parte de cartera.</v>
      </c>
      <c r="F65" s="0" t="str">
        <f aca="false">IFERROR(__xludf.dummyfunction("""COMPUTED_VALUE"""),"Completo")</f>
        <v>Completo</v>
      </c>
    </row>
    <row r="66" customFormat="false" ht="14.25" hidden="false" customHeight="false" outlineLevel="0" collapsed="false">
      <c r="A66" s="18" t="str">
        <f aca="false">IFERROR(MID(D66,1,FIND("|",D66)-1)&amp;"-"&amp;C66,"")</f>
        <v>AICI202006-18-2-2</v>
      </c>
      <c r="B66" s="19" t="n">
        <f aca="false">IFERROR(__xludf.dummyfunction("""COMPUTED_VALUE"""),44518)</f>
        <v>44518</v>
      </c>
      <c r="C66" s="0" t="n">
        <f aca="false">IFERROR(__xludf.dummyfunction("""COMPUTED_VALUE"""),2)</f>
        <v>2</v>
      </c>
      <c r="D66" s="0" t="str">
        <f aca="false">IFERROR(__xludf.dummyfunction("""COMPUTED_VALUE"""),"AICI202006-18-2| Conciliar y depurar con contabilidad, valores reconocidos por las EPS correspondiente a la vigencia 2017 (05/04/2021 - 30/11/2021)")</f>
        <v>AICI202006-18-2| Conciliar y depurar con contabilidad, valores reconocidos por las EPS correspondiente a la vigencia 2017 (05/04/2021 - 30/11/2021)</v>
      </c>
      <c r="E66" s="0" t="str">
        <f aca="false">IFERROR(__xludf.dummyfunction("""COMPUTED_VALUE"""),"Nota: La acción inicial que involucraba la implementación de INCAX fue cambiada por solicitud oficial en orfeo realizada por Talento Humano, debido a que la misma no pudo ser adelantada por terminación del contrato encargado de INCAX. Dicho cambio fue con"&amp;"sensuado por la Oficina de Control Interno.
Se envío scanner de las conciliaciones con contabilidad de la presente vigencia año 2021 de enero a agosto - adicionalmente acta de las reuniones con la Gerencia - el asesor jurídico y los funcionarios y ex func"&amp;"ionarios que realizaron acuerdo de pago (relativo a incapacidades superiores a 180 días:  Rodrigo Pimentel, Jorge Eliecer Sánchez, Oscar Prado, Sandra Santana, Oficio solicitud jurídica caso Gloria Montaña)
No se evidenciaron soportes de  conciliaciones y"&amp;"/o soportes de depuración de valores reconocidos por las EPS para la vigencia 2017. Se verificaron todos los archivos de las conciliaciones mencionadas y los acuerdos de pago. No se suben todos los archivos porque son muy pesados.")</f>
        <v>Nota: La acción inicial que involucraba la implementación de INCAX fue cambiada por solicitud oficial en orfeo realizada por Talento Humano, debido a que la misma no pudo ser adelantada por terminación del contrato encargado de INCAX. Dicho cambio fue consensuado por la Oficina de Control Interno.
Se envío scanner de las conciliaciones con contabilidad de la presente vigencia año 2021 de enero a agosto - adicionalmente acta de las reuniones con la Gerencia - el asesor jurídico y los funcionarios y ex funcionarios que realizaron acuerdo de pago (relativo a incapacidades superiores a 180 días:  Rodrigo Pimentel, Jorge Eliecer Sánchez, Oscar Prado, Sandra Santana, Oficio solicitud jurídica caso Gloria Montaña)
No se evidenciaron soportes de  conciliaciones y/o soportes de depuración de valores reconocidos por las EPS para la vigencia 2017. Se verificaron todos los archivos de las conciliaciones mencionadas y los acuerdos de pago. No se suben todos los archivos porque son muy pesados.</v>
      </c>
      <c r="F66" s="0" t="str">
        <f aca="false">IFERROR(__xludf.dummyfunction("""COMPUTED_VALUE"""),"En desarrollo")</f>
        <v>En desarrollo</v>
      </c>
    </row>
    <row r="67" customFormat="false" ht="14.25" hidden="false" customHeight="false" outlineLevel="0" collapsed="false">
      <c r="A67" s="18" t="str">
        <f aca="false">IFERROR(MID(D67,1,FIND("|",D67)-1)&amp;"-"&amp;C67,"")</f>
        <v>AICI202006-18-1-2</v>
      </c>
      <c r="B67" s="19" t="n">
        <f aca="false">IFERROR(__xludf.dummyfunction("""COMPUTED_VALUE"""),44518)</f>
        <v>44518</v>
      </c>
      <c r="C67" s="0" t="n">
        <f aca="false">IFERROR(__xludf.dummyfunction("""COMPUTED_VALUE"""),2)</f>
        <v>2</v>
      </c>
      <c r="D67" s="0" t="str">
        <f aca="false">IFERROR(__xludf.dummyfunction("""COMPUTED_VALUE"""),"AICI202006-18-1| Realizar las fichas de saneamiento fiscal que sean necesarias con el concepto juridico con relación a las vigencias que prescriben. (05/04/2021 - 30/11/2021)")</f>
        <v>AICI202006-18-1| Realizar las fichas de saneamiento fiscal que sean necesarias con el concepto juridico con relación a las vigencias que prescriben. (05/04/2021 - 30/11/2021)</v>
      </c>
      <c r="E67" s="0" t="str">
        <f aca="false">IFERROR(__xludf.dummyfunction("""COMPUTED_VALUE"""),"Se informa que se envió oficio a la Dirección Financiera solicitando el trámite con el Comité de Saneamiento Contable")</f>
        <v>Se informa que se envió oficio a la Dirección Financiera solicitando el trámite con el Comité de Saneamiento Contable</v>
      </c>
      <c r="F67" s="0" t="str">
        <f aca="false">IFERROR(__xludf.dummyfunction("""COMPUTED_VALUE"""),"En desarrollo")</f>
        <v>En desarrollo</v>
      </c>
    </row>
    <row r="68" customFormat="false" ht="14.25" hidden="false" customHeight="false" outlineLevel="0" collapsed="false">
      <c r="A68" s="18" t="str">
        <f aca="false">IFERROR(MID(D68,1,FIND("|",D68)-1)&amp;"-"&amp;C68,"")</f>
        <v>AICI202006-19-1-2</v>
      </c>
      <c r="B68" s="19" t="n">
        <f aca="false">IFERROR(__xludf.dummyfunction("""COMPUTED_VALUE"""),44518)</f>
        <v>44518</v>
      </c>
      <c r="C68" s="0" t="n">
        <f aca="false">IFERROR(__xludf.dummyfunction("""COMPUTED_VALUE"""),2)</f>
        <v>2</v>
      </c>
      <c r="D68" s="0" t="str">
        <f aca="false">IFERROR(__xludf.dummyfunction("""COMPUTED_VALUE"""),"AICI202006-19-1| Actualizar el instructivo de Incapacidades AP-TH-I-24-02 e incluir en el mismo, el trámite y manejo de incapacidades de mas de 180 dias y solicitar al área de Calidad su normalización. (05/04/2021 - 30/08/2021)")</f>
        <v>AICI202006-19-1| Actualizar el instructivo de Incapacidades AP-TH-I-24-02 e incluir en el mismo, el trámite y manejo de incapacidades de mas de 180 dias y solicitar al área de Calidad su normalización. (05/04/2021 - 30/08/2021)</v>
      </c>
      <c r="E68" s="0" t="str">
        <f aca="false">IFERROR(__xludf.dummyfunction("""COMPUTED_VALUE"""),"Se informa que se encuentra en la Intranet el instructivo de Incapacidades normalizado AP-TH-I-24-03 16/09/2021. Al revisar el instructivo se describe que a partir del día 181, la Administradora del Fondo de Pensiones, será la encargada del reconocimiento"&amp;" del auxilio por enfermedad. no se menciona otro procedimiento asociado a la Subred con relación a este item.")</f>
        <v>Se informa que se encuentra en la Intranet el instructivo de Incapacidades normalizado AP-TH-I-24-03 16/09/2021. Al revisar el instructivo se describe que a partir del día 181, la Administradora del Fondo de Pensiones, será la encargada del reconocimiento del auxilio por enfermedad. no se menciona otro procedimiento asociado a la Subred con relación a este item.</v>
      </c>
      <c r="F68" s="0" t="str">
        <f aca="false">IFERROR(__xludf.dummyfunction("""COMPUTED_VALUE"""),"Completo")</f>
        <v>Completo</v>
      </c>
    </row>
    <row r="69" customFormat="false" ht="14.25" hidden="false" customHeight="false" outlineLevel="0" collapsed="false">
      <c r="A69" s="18" t="str">
        <f aca="false">IFERROR(MID(D69,1,FIND("|",D69)-1)&amp;"-"&amp;C69,"")</f>
        <v>AICI202006-19-2-2</v>
      </c>
      <c r="B69" s="19" t="n">
        <f aca="false">IFERROR(__xludf.dummyfunction("""COMPUTED_VALUE"""),44518)</f>
        <v>44518</v>
      </c>
      <c r="C69" s="0" t="n">
        <f aca="false">IFERROR(__xludf.dummyfunction("""COMPUTED_VALUE"""),2)</f>
        <v>2</v>
      </c>
      <c r="D69" s="0" t="str">
        <f aca="false">IFERROR(__xludf.dummyfunction("""COMPUTED_VALUE"""),"AICI202006-19-2| Establecer con los abogados del área un protocolo y con el apoyo de la oficina Jurídica de la entidad, ... (05/04/2021 - 30/08/2021)")</f>
        <v>AICI202006-19-2| Establecer con los abogados del área un protocolo y con el apoyo de la oficina Jurídica de la entidad, ... (05/04/2021 - 30/08/2021)</v>
      </c>
      <c r="E69" s="0" t="str">
        <f aca="false">IFERROR(__xludf.dummyfunction("""COMPUTED_VALUE"""),"Se informa que se encuentra en la Intranet el instructivo de Incapacidades normalizado AP-TH-I-24-03 16/09/2021. Al revisar el instructivo se describe que a partir del día 181, la Administradora del Fondo de Pensiones, será la encargada del reconocimiento"&amp;" del auxilio por enfermedad. no se menciona otro procedimiento asociado a la Subred con relación a este item. No se presentan soportes de protocolo establecido  o parámetros para proceder en casos de cobro a funcionarios por incapacidades superiores a 180"&amp;" días. por lo tanto no se cumple la acción.")</f>
        <v>Se informa que se encuentra en la Intranet el instructivo de Incapacidades normalizado AP-TH-I-24-03 16/09/2021. Al revisar el instructivo se describe que a partir del día 181, la Administradora del Fondo de Pensiones, será la encargada del reconocimiento del auxilio por enfermedad. no se menciona otro procedimiento asociado a la Subred con relación a este item. No se presentan soportes de protocolo establecido  o parámetros para proceder en casos de cobro a funcionarios por incapacidades superiores a 180 días. por lo tanto no se cumple la acción.</v>
      </c>
      <c r="F69" s="0" t="str">
        <f aca="false">IFERROR(__xludf.dummyfunction("""COMPUTED_VALUE"""),"Atrasado")</f>
        <v>Atrasado</v>
      </c>
    </row>
    <row r="70" customFormat="false" ht="14.25" hidden="false" customHeight="false" outlineLevel="0" collapsed="false">
      <c r="A70" s="18" t="str">
        <f aca="false">IFERROR(MID(D70,1,FIND("|",D70)-1)&amp;"-"&amp;C70,"")</f>
        <v>AICI202006-19-3-2</v>
      </c>
      <c r="B70" s="19" t="n">
        <f aca="false">IFERROR(__xludf.dummyfunction("""COMPUTED_VALUE"""),44518)</f>
        <v>44518</v>
      </c>
      <c r="C70" s="0" t="n">
        <f aca="false">IFERROR(__xludf.dummyfunction("""COMPUTED_VALUE"""),2)</f>
        <v>2</v>
      </c>
      <c r="D70" s="0" t="str">
        <f aca="false">IFERROR(__xludf.dummyfunction("""COMPUTED_VALUE"""),"AICI202006-19-3| Adelantar los procesos legales correspondientes en cada uno de los casos vigentes referidos en el informe en el numeral 8,3... (05/04/2021 - 30/08/2021)")</f>
        <v>AICI202006-19-3| Adelantar los procesos legales correspondientes en cada uno de los casos vigentes referidos en el informe en el numeral 8,3... (05/04/2021 - 30/08/2021)</v>
      </c>
      <c r="E70" s="0" t="str">
        <f aca="false">IFERROR(__xludf.dummyfunction("""COMPUTED_VALUE"""),"Se realizan acuerdos de pago con 3 funcionarios (Sandra Santana, Oscar Prado, y rodrigo Pimentel) y 1 exfuncionario - se soportan con actas y acuerdos de pago. Se anexan soportes.  Pendientes soportes de trámites adelantados con : Gloria Inés Montaña, Cle"&amp;"mencia García Acosta, Ruth Marina Suancha Hortúa. No se ha cumplido con la totalidad de la acción.")</f>
        <v>Se realizan acuerdos de pago con 3 funcionarios (Sandra Santana, Oscar Prado, y rodrigo Pimentel) y 1 exfuncionario - se soportan con actas y acuerdos de pago. Se anexan soportes.  Pendientes soportes de trámites adelantados con : Gloria Inés Montaña, Clemencia García Acosta, Ruth Marina Suancha Hortúa. No se ha cumplido con la totalidad de la acción.</v>
      </c>
      <c r="F70" s="0" t="str">
        <f aca="false">IFERROR(__xludf.dummyfunction("""COMPUTED_VALUE"""),"Atrasado")</f>
        <v>Atrasado</v>
      </c>
    </row>
    <row r="71" customFormat="false" ht="14.25" hidden="false" customHeight="false" outlineLevel="0" collapsed="false">
      <c r="A71" s="18" t="str">
        <f aca="false">IFERROR(MID(D71,1,FIND("|",D71)-1)&amp;"-"&amp;C71,"")</f>
        <v>AICI202006-20-1-2</v>
      </c>
      <c r="B71" s="19" t="n">
        <f aca="false">IFERROR(__xludf.dummyfunction("""COMPUTED_VALUE"""),44518)</f>
        <v>44518</v>
      </c>
      <c r="C71" s="0" t="n">
        <f aca="false">IFERROR(__xludf.dummyfunction("""COMPUTED_VALUE"""),2)</f>
        <v>2</v>
      </c>
      <c r="D71" s="0" t="str">
        <f aca="false">IFERROR(__xludf.dummyfunction("""COMPUTED_VALUE"""),"AICI202006-20-1| Requerir a Colpensiones y subsanar el hallazgo, (05/04/2021 - 30/08/2021)")</f>
        <v>AICI202006-20-1| Requerir a Colpensiones y subsanar el hallazgo, (05/04/2021 - 30/08/2021)</v>
      </c>
      <c r="E71" s="0" t="str">
        <f aca="false">IFERROR(__xludf.dummyfunction("""COMPUTED_VALUE"""),"Se informa que Colpensiones no responde a la solicitud, se hace reiteración.  Se realizan reuniones con Gerencia y el asesor Jurídico, se anexan actas y se traslada el caso a la oficina Jurídica con el fin de realizar los trámites de cobro legales pertine"&amp;"ntes.")</f>
        <v>Se informa que Colpensiones no responde a la solicitud, se hace reiteración.  Se realizan reuniones con Gerencia y el asesor Jurídico, se anexan actas y se traslada el caso a la oficina Jurídica con el fin de realizar los trámites de cobro legales pertinentes.</v>
      </c>
      <c r="F71" s="0" t="str">
        <f aca="false">IFERROR(__xludf.dummyfunction("""COMPUTED_VALUE"""),"Atrasado")</f>
        <v>Atrasado</v>
      </c>
    </row>
    <row r="72" customFormat="false" ht="14.25" hidden="false" customHeight="false" outlineLevel="0" collapsed="false">
      <c r="A72" s="18" t="str">
        <f aca="false">IFERROR(MID(D72,1,FIND("|",D72)-1)&amp;"-"&amp;C72,"")</f>
        <v>AICI202006-20-2-2</v>
      </c>
      <c r="B72" s="19" t="n">
        <f aca="false">IFERROR(__xludf.dummyfunction("""COMPUTED_VALUE"""),44518)</f>
        <v>44518</v>
      </c>
      <c r="C72" s="0" t="n">
        <f aca="false">IFERROR(__xludf.dummyfunction("""COMPUTED_VALUE"""),2)</f>
        <v>2</v>
      </c>
      <c r="D72" s="0" t="str">
        <f aca="false">IFERROR(__xludf.dummyfunction("""COMPUTED_VALUE"""),"AICI202006-20-2| Solicitar los abogados del área y con el apoyo de la oficina Jurídica de la Subre Norte, realizar un documento con el fin de establecer parámetros y proceder en los futuros casos que se presenten (05/04/2021 - 30/08/2021)")</f>
        <v>AICI202006-20-2| Solicitar los abogados del área y con el apoyo de la oficina Jurídica de la Subre Norte, realizar un documento con el fin de establecer parámetros y proceder en los futuros casos que se presenten (05/04/2021 - 30/08/2021)</v>
      </c>
      <c r="E72" s="0" t="str">
        <f aca="false">IFERROR(__xludf.dummyfunction("""COMPUTED_VALUE"""),"Se informa que se encuentra en la Intranet el instructivo de Incapacidades normalizado AP-TH-I-24-03 16/09/2021. Al revisar el instructivo se describe que a partir del día 181, la Administradora del Fondo de Pensiones, será la encargada del reconocimiento"&amp;" del auxilio por enfermedad. no se menciona otro procedimiento asociado a la Subred con relación a este item. No se presentan soportes de protocolo establecido  o parámetros para proceder en casos de cobro a funcionarios por incapacidades superiores a 180"&amp;" días. por lo tanto no se cumple la acción.")</f>
        <v>Se informa que se encuentra en la Intranet el instructivo de Incapacidades normalizado AP-TH-I-24-03 16/09/2021. Al revisar el instructivo se describe que a partir del día 181, la Administradora del Fondo de Pensiones, será la encargada del reconocimiento del auxilio por enfermedad. no se menciona otro procedimiento asociado a la Subred con relación a este item. No se presentan soportes de protocolo establecido  o parámetros para proceder en casos de cobro a funcionarios por incapacidades superiores a 180 días. por lo tanto no se cumple la acción.</v>
      </c>
      <c r="F72" s="0" t="str">
        <f aca="false">IFERROR(__xludf.dummyfunction("""COMPUTED_VALUE"""),"Atrasado")</f>
        <v>Atrasado</v>
      </c>
    </row>
    <row r="73" customFormat="false" ht="14.25" hidden="false" customHeight="false" outlineLevel="0" collapsed="false">
      <c r="A73" s="18" t="str">
        <f aca="false">IFERROR(MID(D73,1,FIND("|",D73)-1)&amp;"-"&amp;C73,"")</f>
        <v>AICI202006-20-3-2</v>
      </c>
      <c r="B73" s="19" t="n">
        <f aca="false">IFERROR(__xludf.dummyfunction("""COMPUTED_VALUE"""),44518)</f>
        <v>44518</v>
      </c>
      <c r="C73" s="0" t="n">
        <f aca="false">IFERROR(__xludf.dummyfunction("""COMPUTED_VALUE"""),2)</f>
        <v>2</v>
      </c>
      <c r="D73" s="0" t="str">
        <f aca="false">IFERROR(__xludf.dummyfunction("""COMPUTED_VALUE"""),"AICI202006-20-3| Realizar las actuaciones jurídicas que correspondan en torno al caso de la Sra. Gloria inés Montaña. (05/04/2021 - 30/08/2021)")</f>
        <v>AICI202006-20-3| Realizar las actuaciones jurídicas que correspondan en torno al caso de la Sra. Gloria inés Montaña. (05/04/2021 - 30/08/2021)</v>
      </c>
      <c r="E73" s="0" t="str">
        <f aca="false">IFERROR(__xludf.dummyfunction("""COMPUTED_VALUE"""),"Se realizan reuniones con Gerencia y el asesor Jurídico, se anexan actas y se traslada el caso a la oficina Jurídica con el fin de realizar los trámites de cobro legales pertienentes. Se anexa oficio de traslado del caso a jurídica.")</f>
        <v>Se realizan reuniones con Gerencia y el asesor Jurídico, se anexan actas y se traslada el caso a la oficina Jurídica con el fin de realizar los trámites de cobro legales pertienentes. Se anexa oficio de traslado del caso a jurídica.</v>
      </c>
      <c r="F73" s="0" t="str">
        <f aca="false">IFERROR(__xludf.dummyfunction("""COMPUTED_VALUE"""),"Atrasado")</f>
        <v>Atrasado</v>
      </c>
    </row>
    <row r="74" customFormat="false" ht="14.25" hidden="false" customHeight="false" outlineLevel="0" collapsed="false">
      <c r="A74" s="18" t="str">
        <f aca="false">IFERROR(MID(D74,1,FIND("|",D74)-1)&amp;"-"&amp;C74,"")</f>
        <v>AICI202006-21-1-2</v>
      </c>
      <c r="B74" s="19" t="n">
        <f aca="false">IFERROR(__xludf.dummyfunction("""COMPUTED_VALUE"""),44518)</f>
        <v>44518</v>
      </c>
      <c r="C74" s="0" t="n">
        <f aca="false">IFERROR(__xludf.dummyfunction("""COMPUTED_VALUE"""),2)</f>
        <v>2</v>
      </c>
      <c r="D74" s="0" t="str">
        <f aca="false">IFERROR(__xludf.dummyfunction("""COMPUTED_VALUE"""),"AICI202006-21-1| Actualizar el instructivo de Incapacidades AP-TH-I-24-02 incluyendo los temas enunciados en la no conformidad y solicitar al área de Calidad su normalización (05/04/2021 - 30/08/2021)")</f>
        <v>AICI202006-21-1| Actualizar el instructivo de Incapacidades AP-TH-I-24-02 incluyendo los temas enunciados en la no conformidad y solicitar al área de Calidad su normalización (05/04/2021 - 30/08/2021)</v>
      </c>
      <c r="E74" s="0" t="str">
        <f aca="false">IFERROR(__xludf.dummyfunction("""COMPUTED_VALUE"""),"Se encuentra en la Intranet el instructivo de Incapacidades normalizado AP-TH-I-24-03 16/09/2021. en el se explica la posición asumida por la Subred en caso de incapacidades no reconocidas por las EPS")</f>
        <v>Se encuentra en la Intranet el instructivo de Incapacidades normalizado AP-TH-I-24-03 16/09/2021. en el se explica la posición asumida por la Subred en caso de incapacidades no reconocidas por las EPS</v>
      </c>
      <c r="F74" s="0" t="str">
        <f aca="false">IFERROR(__xludf.dummyfunction("""COMPUTED_VALUE"""),"Completo")</f>
        <v>Completo</v>
      </c>
    </row>
    <row r="75" customFormat="false" ht="14.25" hidden="false" customHeight="false" outlineLevel="0" collapsed="false">
      <c r="A75" s="18" t="str">
        <f aca="false">IFERROR(MID(D75,1,FIND("|",D75)-1)&amp;"-"&amp;C75,"")</f>
        <v>AICI202006-24-1-2</v>
      </c>
      <c r="B75" s="19" t="n">
        <f aca="false">IFERROR(__xludf.dummyfunction("""COMPUTED_VALUE"""),44518)</f>
        <v>44518</v>
      </c>
      <c r="C75" s="0" t="n">
        <f aca="false">IFERROR(__xludf.dummyfunction("""COMPUTED_VALUE"""),2)</f>
        <v>2</v>
      </c>
      <c r="D75" s="0" t="str">
        <f aca="false">IFERROR(__xludf.dummyfunction("""COMPUTED_VALUE"""),"AICI202006-24-1| Solicitar la normalización de la hoja de calculo diseñada para unificar el registro de incapacidades con su respectivo instructivo de diligenciamiento y controles al área de Calidad. (01/10/2021 - 31/12/2021)")</f>
        <v>AICI202006-24-1| Solicitar la normalización de la hoja de calculo diseñada para unificar el registro de incapacidades con su respectivo instructivo de diligenciamiento y controles al área de Calidad. (01/10/2021 - 31/12/2021)</v>
      </c>
      <c r="E75" s="0" t="str">
        <f aca="false">IFERROR(__xludf.dummyfunction("""COMPUTED_VALUE"""),"Nota: La acción inicial que involucraba la implementación de INCAX fue cambiada por solicitud oficial en orfeo realizada por Talento Humano, debido a que la misma no pudo ser adelantada por terminación del contrato encargadio de INCAX. Dicho cambio fue co"&amp;"nsensuado por la Oficina de Control Interno.
Se informa que se encuentra en proceso el instructivo de la hoja de calculo para su normalización - se envía borrador . archivo protegido, no permite visualizar ")</f>
        <v>Nota: La acción inicial que involucraba la implementación de INCAX fue cambiada por solicitud oficial en orfeo realizada por Talento Humano, debido a que la misma no pudo ser adelantada por terminación del contrato encargadio de INCAX. Dicho cambio fue consensuado por la Oficina de Control Interno.
Se informa que se encuentra en proceso el instructivo de la hoja de calculo para su normalización - se envía borrador . archivo protegido, no permite visualizar </v>
      </c>
      <c r="F75" s="0" t="str">
        <f aca="false">IFERROR(__xludf.dummyfunction("""COMPUTED_VALUE"""),"En desarrollo")</f>
        <v>En desarrollo</v>
      </c>
    </row>
    <row r="76" customFormat="false" ht="14.25" hidden="false" customHeight="false" outlineLevel="0" collapsed="false">
      <c r="A76" s="18" t="str">
        <f aca="false">IFERROR(MID(D76,1,FIND("|",D76)-1)&amp;"-"&amp;C76,"")</f>
        <v>AICI202006-27-1-2</v>
      </c>
      <c r="B76" s="19" t="n">
        <f aca="false">IFERROR(__xludf.dummyfunction("""COMPUTED_VALUE"""),44518)</f>
        <v>44518</v>
      </c>
      <c r="C76" s="0" t="n">
        <f aca="false">IFERROR(__xludf.dummyfunction("""COMPUTED_VALUE"""),2)</f>
        <v>2</v>
      </c>
      <c r="D76" s="0" t="str">
        <f aca="false">IFERROR(__xludf.dummyfunction("""COMPUTED_VALUE"""),"AICI202006-27-1| Asignar a la profesional Marcela Iglesias para ejercer las labores de apoyo y controles, igualmente asignar a Adriana Cristancho líder de Nómina el monitoreo y seguimiento al proceso de Incapacidades (22/02/2021 - 15/03/2021)")</f>
        <v>AICI202006-27-1| Asignar a la profesional Marcela Iglesias para ejercer las labores de apoyo y controles, igualmente asignar a Adriana Cristancho líder de Nómina el monitoreo y seguimiento al proceso de Incapacidades (22/02/2021 - 15/03/2021)</v>
      </c>
      <c r="E76" s="0" t="str">
        <f aca="false">IFERROR(__xludf.dummyfunction("""COMPUTED_VALUE"""),"Se envió una presentación de powerpoint  en la cual se describe la estructura del área de nómina en la cual aparece como líder de nómina la profesional Adriana Cristancho contador público especialista en derecho laboral y seguridad socia y Marcela Iglesia"&amp;"s administradora de empresas - control de registro y recobro de incapacidades.
Dado que la presentación enviada no tiene soportes de ser un  ""documento formalmente avalado al interior de la Subred"" o viene acompañado de registros y/o documentos que demu"&amp;"estren el ejercicio del personal mencionado en la acción concertada, se considera  que esta presentación no proporciona evidencia suficiente  para el levantamiento de la no conformidad.")</f>
        <v>Se envió una presentación de powerpoint  en la cual se describe la estructura del área de nómina en la cual aparece como líder de nómina la profesional Adriana Cristancho contador público especialista en derecho laboral y seguridad socia y Marcela Iglesias administradora de empresas - control de registro y recobro de incapacidades.
Dado que la presentación enviada no tiene soportes de ser un  "documento formalmente avalado al interior de la Subred" o viene acompañado de registros y/o documentos que demuestren el ejercicio del personal mencionado en la acción concertada, se considera  que esta presentación no proporciona evidencia suficiente  para el levantamiento de la no conformidad.</v>
      </c>
      <c r="F76" s="0" t="str">
        <f aca="false">IFERROR(__xludf.dummyfunction("""COMPUTED_VALUE"""),"Atrasado")</f>
        <v>Atrasado</v>
      </c>
    </row>
    <row r="77" customFormat="false" ht="14.25" hidden="false" customHeight="false" outlineLevel="0" collapsed="false">
      <c r="A77" s="18" t="str">
        <f aca="false">IFERROR(MID(D77,1,FIND("|",D77)-1)&amp;"-"&amp;C77,"")</f>
        <v>AICI202006-7-1-2</v>
      </c>
      <c r="B77" s="19" t="n">
        <f aca="false">IFERROR(__xludf.dummyfunction("""COMPUTED_VALUE"""),44524)</f>
        <v>44524</v>
      </c>
      <c r="C77" s="0" t="n">
        <f aca="false">IFERROR(__xludf.dummyfunction("""COMPUTED_VALUE"""),2)</f>
        <v>2</v>
      </c>
      <c r="D77" s="0" t="str">
        <f aca="false">IFERROR(__xludf.dummyfunction("""COMPUTED_VALUE"""),"AICI202006-7-1| Actualizar el instructivo de Incapacidades AP-TH-I-24-02 como soporte del desarrollo de las actividades de Incapacidades y su regulación y solicitar al área de Calidad su normalización, (05/04/2021 - 31/08/2021)")</f>
        <v>AICI202006-7-1| Actualizar el instructivo de Incapacidades AP-TH-I-24-02 como soporte del desarrollo de las actividades de Incapacidades y su regulación y solicitar al área de Calidad su normalización, (05/04/2021 - 31/08/2021)</v>
      </c>
      <c r="E77" s="0" t="str">
        <f aca="false">IFERROR(__xludf.dummyfunction("""COMPUTED_VALUE"""),"Se evidenció Instructivo de Incapacidades normalizado AP-TH-I-24-03, en el cual  se describen las actividades realizadas en el procedimiento de incapacidades de la Subred Norte ESE., como recepción de incapacidades, control y diligenciamiento de registros"&amp;"   de la incapacidad, componentes del IBC definidos para cálculo de valores de la incapacidad, radicación, cobro y aplicación de pagos realizados por las EPS/Pagadores.. En el documento se evidencian los puntos de control del proceso de incapacidades. se "&amp;"publicó en intranet.  ver soporte. 
No se presentan soportes de los formatos físicos o magnéticos que se manejan en la gestión de incapacidades normalizados, los cuales hacen parte integral  de la gestión de incapacidades,  acorde a lo expuesto  en la no "&amp;"conformidad. Por lo tanto la acción no se ha dado cabal cumplimiento para levantar la no conformidad.")</f>
        <v>Se evidenció Instructivo de Incapacidades normalizado AP-TH-I-24-03, en el cual  se describen las actividades realizadas en el procedimiento de incapacidades de la Subred Norte ESE., como recepción de incapacidades, control y diligenciamiento de registros   de la incapacidad, componentes del IBC definidos para cálculo de valores de la incapacidad, radicación, cobro y aplicación de pagos realizados por las EPS/Pagadores.. En el documento se evidencian los puntos de control del proceso de incapacidades. se publicó en intranet.  ver soporte. 
No se presentan soportes de los formatos físicos o magnéticos que se manejan en la gestión de incapacidades normalizados, los cuales hacen parte integral  de la gestión de incapacidades,  acorde a lo expuesto  en la no conformidad. Por lo tanto la acción no se ha dado cabal cumplimiento para levantar la no conformidad.</v>
      </c>
      <c r="F77" s="0" t="str">
        <f aca="false">IFERROR(__xludf.dummyfunction("""COMPUTED_VALUE"""),"Atrasado")</f>
        <v>Atrasado</v>
      </c>
    </row>
    <row r="78" customFormat="false" ht="14.25" hidden="false" customHeight="false" outlineLevel="0" collapsed="false">
      <c r="A78" s="18" t="str">
        <f aca="false">IFERROR(MID(D78,1,FIND("|",D78)-1)&amp;"-"&amp;C78,"")</f>
        <v>AICI202006-13-1-2</v>
      </c>
      <c r="B78" s="19" t="n">
        <f aca="false">IFERROR(__xludf.dummyfunction("""COMPUTED_VALUE"""),44476)</f>
        <v>44476</v>
      </c>
      <c r="C78" s="0" t="n">
        <f aca="false">IFERROR(__xludf.dummyfunction("""COMPUTED_VALUE"""),2)</f>
        <v>2</v>
      </c>
      <c r="D78" s="0" t="str">
        <f aca="false">IFERROR(__xludf.dummyfunction("""COMPUTED_VALUE"""),"AICI202006-13-1| Incluír en el Instructivo el procedimiento de aplicación de pagos por funcionario. (01/03/2021 - 30/06/2021)")</f>
        <v>AICI202006-13-1| Incluír en el Instructivo el procedimiento de aplicación de pagos por funcionario. (01/03/2021 - 30/06/2021)</v>
      </c>
      <c r="E78" s="0" t="str">
        <f aca="false">IFERROR(__xludf.dummyfunction("""COMPUTED_VALUE"""),"Se evidenció Instructivo de Incapacidades normalizado AP-TH-I-24-03, en el cual  se describen las actividades realizadas en el procedimiento de incapacidades de la Subred Norte ESE., como recepción de incapacidades, control y diligenciamiento de registros"&amp;"   de la incapacidad, componentes del IBC definidos para cálculo de valores de la incapacidad, proceso de radicación de incapacidades ante los pagadores. en el se describen las actividades de gestión de cobro de incapacidades y circularización por parte d"&amp;"e cartera y otras  actividades realizadas por el área Financiera.  ver soporte")</f>
        <v>Se evidenció Instructivo de Incapacidades normalizado AP-TH-I-24-03, en el cual  se describen las actividades realizadas en el procedimiento de incapacidades de la Subred Norte ESE., como recepción de incapacidades, control y diligenciamiento de registros   de la incapacidad, componentes del IBC definidos para cálculo de valores de la incapacidad, proceso de radicación de incapacidades ante los pagadores. en el se describen las actividades de gestión de cobro de incapacidades y circularización por parte de cartera y otras  actividades realizadas por el área Financiera.  ver soporte</v>
      </c>
      <c r="F78" s="0" t="str">
        <f aca="false">IFERROR(__xludf.dummyfunction("""COMPUTED_VALUE"""),"Completo")</f>
        <v>Completo</v>
      </c>
    </row>
    <row r="79" customFormat="false" ht="14.25" hidden="false" customHeight="false" outlineLevel="0" collapsed="false">
      <c r="A79" s="18" t="str">
        <f aca="false">IFERROR(MID(D79,1,FIND("|",D79)-1)&amp;"-"&amp;C79,"")</f>
        <v>AICI202006-2-1-2</v>
      </c>
      <c r="B79" s="19" t="n">
        <f aca="false">IFERROR(__xludf.dummyfunction("""COMPUTED_VALUE"""),44476)</f>
        <v>44476</v>
      </c>
      <c r="C79" s="0" t="n">
        <f aca="false">IFERROR(__xludf.dummyfunction("""COMPUTED_VALUE"""),2)</f>
        <v>2</v>
      </c>
      <c r="D79" s="0" t="str">
        <f aca="false">IFERROR(__xludf.dummyfunction("""COMPUTED_VALUE"""),"AICI202006-2-1| Actualizar el instructivo de Incapacidades AP-TH-I-24-02 y solicitar al área de Calidad su normalización, (05/04/2021 - 31/08/2021)")</f>
        <v>AICI202006-2-1| Actualizar el instructivo de Incapacidades AP-TH-I-24-02 y solicitar al área de Calidad su normalización, (05/04/2021 - 31/08/2021)</v>
      </c>
      <c r="E79" s="0" t="str">
        <f aca="false">IFERROR(__xludf.dummyfunction("""COMPUTED_VALUE"""),"Se evidenció Instructivo de Incapacidades normalizado AP-TH-I-24-03, en el cual  se describen las actividades realizadas en el procedimiento de incapacidades de la Subred Norte ESE., como recepción de incapacidades, control y diligenciamiento de registros"&amp;"   de la incapacidad, componentes del IBC definidos para cálculo de valores de la incapacidad, proceso de radicación de incapacidades ante los pagadores. en el se describen las actividades de gestión de cobro de incapacidades y circularización por parte d"&amp;"e cartera y otras  actividades realizadas por el área Financiera.  ver soporte")</f>
        <v>Se evidenció Instructivo de Incapacidades normalizado AP-TH-I-24-03, en el cual  se describen las actividades realizadas en el procedimiento de incapacidades de la Subred Norte ESE., como recepción de incapacidades, control y diligenciamiento de registros   de la incapacidad, componentes del IBC definidos para cálculo de valores de la incapacidad, proceso de radicación de incapacidades ante los pagadores. en el se describen las actividades de gestión de cobro de incapacidades y circularización por parte de cartera y otras  actividades realizadas por el área Financiera.  ver soporte</v>
      </c>
      <c r="F79" s="0" t="str">
        <f aca="false">IFERROR(__xludf.dummyfunction("""COMPUTED_VALUE"""),"Completo")</f>
        <v>Completo</v>
      </c>
    </row>
    <row r="80" customFormat="false" ht="14.25" hidden="false" customHeight="false" outlineLevel="0" collapsed="false">
      <c r="A80" s="18" t="str">
        <f aca="false">IFERROR(MID(D80,1,FIND("|",D80)-1)&amp;"-"&amp;C80,"")</f>
        <v>AICI202006-18-3-2</v>
      </c>
      <c r="B80" s="19" t="n">
        <f aca="false">IFERROR(__xludf.dummyfunction("""COMPUTED_VALUE"""),44518)</f>
        <v>44518</v>
      </c>
      <c r="C80" s="0" t="n">
        <f aca="false">IFERROR(__xludf.dummyfunction("""COMPUTED_VALUE"""),2)</f>
        <v>2</v>
      </c>
      <c r="D80" s="0" t="str">
        <f aca="false">IFERROR(__xludf.dummyfunction("""COMPUTED_VALUE"""),"AICI202006-18-3| Realizar conciliaciones mensuales con las áreas financieras, con el fin de descargar y controlar los pagos realzados por las EPS y ARL... (05/04/2021 - 30/11/2021)")</f>
        <v>AICI202006-18-3| Realizar conciliaciones mensuales con las áreas financieras, con el fin de descargar y controlar los pagos realzados por las EPS y ARL... (05/04/2021 - 30/11/2021)</v>
      </c>
      <c r="E80" s="0" t="str">
        <f aca="false">IFERROR(__xludf.dummyfunction("""COMPUTED_VALUE"""),"Se informa que se envió oficio a la Dirección Financiera solicitando el trámite con el Comité de Saneamiento Contable. Se anexa soporte de comunicación enviada.")</f>
        <v>Se informa que se envió oficio a la Dirección Financiera solicitando el trámite con el Comité de Saneamiento Contable. Se anexa soporte de comunicación enviada.</v>
      </c>
      <c r="F80" s="0" t="str">
        <f aca="false">IFERROR(__xludf.dummyfunction("""COMPUTED_VALUE"""),"En desarrollo")</f>
        <v>En desarrollo</v>
      </c>
    </row>
    <row r="81" customFormat="false" ht="14.25" hidden="false" customHeight="false" outlineLevel="0" collapsed="false">
      <c r="A81" s="18" t="str">
        <f aca="false">IFERROR(MID(D81,1,FIND("|",D81)-1)&amp;"-"&amp;C81,"")</f>
        <v>AICI202006-4-1-2</v>
      </c>
      <c r="B81" s="19" t="n">
        <f aca="false">IFERROR(__xludf.dummyfunction("""COMPUTED_VALUE"""),44526)</f>
        <v>44526</v>
      </c>
      <c r="C81" s="0" t="n">
        <f aca="false">IFERROR(__xludf.dummyfunction("""COMPUTED_VALUE"""),2)</f>
        <v>2</v>
      </c>
      <c r="D81" s="0" t="str">
        <f aca="false">IFERROR(__xludf.dummyfunction("""COMPUTED_VALUE"""),"AICI202006-4-1| Unificar los registros del proceso de incapacidades en un único archivo que permita el ingreso, la supervisión y el control de la información asociada al procedimiento. (01/10/2021 - 31/12/2021)")</f>
        <v>AICI202006-4-1| Unificar los registros del proceso de incapacidades en un único archivo que permita el ingreso, la supervisión y el control de la información asociada al procedimiento. (01/10/2021 - 31/12/2021)</v>
      </c>
      <c r="E81" s="0" t="str">
        <f aca="false">IFERROR(__xludf.dummyfunction("""COMPUTED_VALUE"""),"Con Ayuda del ingeniero Luis Tristancho, se realizó verificación  de la hoja de cálculo ""Registro de incapacidades""  establecida como archivo único para consolidar y controlar la información  derivada de la gestión de incapacidades, junto con el aplicat"&amp;"ivo de Sinergy. En esta hoja se observa la inclusión de la información necesaria para registrar, gestionar y controlar las incapacidades.  La formulación de este archivo cuenta los controles requeridos para garantizar adecuada gestión de la información y "&amp;"la seguridad de la misma (tiene numero consecutivo,  evita la duplicidad de registros,  aplica controles a fechas de incapacidad diligenciadas, tiene alertas de numero de días, entre otros) El proceso de control se está realizando mediante la comparación "&amp;"de este archivo con el archivo generado después del tramite de incapacidades de Sinergy. ")</f>
        <v>Con Ayuda del ingeniero Luis Tristancho, se realizó verificación  de la hoja de cálculo "Registro de incapacidades"  establecida como archivo único para consolidar y controlar la información  derivada de la gestión de incapacidades, junto con el aplicativo de Sinergy. En esta hoja se observa la inclusión de la información necesaria para registrar, gestionar y controlar las incapacidades.  La formulación de este archivo cuenta los controles requeridos para garantizar adecuada gestión de la información y la seguridad de la misma (tiene numero consecutivo,  evita la duplicidad de registros,  aplica controles a fechas de incapacidad diligenciadas, tiene alertas de numero de días, entre otros) El proceso de control se está realizando mediante la comparación de este archivo con el archivo generado después del tramite de incapacidades de Sinergy. </v>
      </c>
      <c r="F81" s="0" t="str">
        <f aca="false">IFERROR(__xludf.dummyfunction("""COMPUTED_VALUE"""),"Completo")</f>
        <v>Completo</v>
      </c>
    </row>
    <row r="82" customFormat="false" ht="14.25" hidden="false" customHeight="false" outlineLevel="0" collapsed="false">
      <c r="A82" s="18" t="str">
        <f aca="false">IFERROR(MID(D82,1,FIND("|",D82)-1)&amp;"-"&amp;C82,"")</f>
        <v>AICI202006-9-1-2</v>
      </c>
      <c r="B82" s="19" t="n">
        <f aca="false">IFERROR(__xludf.dummyfunction("""COMPUTED_VALUE"""),44526)</f>
        <v>44526</v>
      </c>
      <c r="C82" s="0" t="n">
        <f aca="false">IFERROR(__xludf.dummyfunction("""COMPUTED_VALUE"""),2)</f>
        <v>2</v>
      </c>
      <c r="D82" s="0" t="str">
        <f aca="false">IFERROR(__xludf.dummyfunction("""COMPUTED_VALUE"""),"AICI202006-9-1| Implementar el sistema Sinergy, para la liquidación de las incapacidades de acuerdo con la normatividad vigente (01/01/2021 - 30/09/2021)")</f>
        <v>AICI202006-9-1| Implementar el sistema Sinergy, para la liquidación de las incapacidades de acuerdo con la normatividad vigente (01/01/2021 - 30/09/2021)</v>
      </c>
      <c r="E82" s="0" t="str">
        <f aca="false">IFERROR(__xludf.dummyfunction("""COMPUTED_VALUE"""),"El Ingeniero Luis Tristancho de OCI realizó la revisión del sistema Sinergy para la gestión de incapacidades, revisó el tema de parametrización  del sistema identificando la tabla de conceptos,  la lista de conceptos con marcación de bases, el grupo de pa"&amp;"rámetros  para el cálculo de incapacidades, evidenciando funcionamiento acorde a la acción de mejora generada. se anexan soportes de información revisada.
En lo referente al tema de los diagnósticos relacionados se informó que se hizo la consulta pertinen"&amp;"te a Salud y Seguridad en el trabajo y se recomendó solicitar la expedición de este concepto directamente al medico tratante que expida la incapacidad y esto es lo que se va a hacer desde el área de incapacidades.")</f>
        <v>El Ingeniero Luis Tristancho de OCI realizó la revisión del sistema Sinergy para la gestión de incapacidades, revisó el tema de parametrización  del sistema identificando la tabla de conceptos,  la lista de conceptos con marcación de bases, el grupo de parámetros  para el cálculo de incapacidades, evidenciando funcionamiento acorde a la acción de mejora generada. se anexan soportes de información revisada.
En lo referente al tema de los diagnósticos relacionados se informó que se hizo la consulta pertinente a Salud y Seguridad en el trabajo y se recomendó solicitar la expedición de este concepto directamente al medico tratante que expida la incapacidad y esto es lo que se va a hacer desde el área de incapacidades.</v>
      </c>
      <c r="F82" s="0" t="str">
        <f aca="false">IFERROR(__xludf.dummyfunction("""COMPUTED_VALUE"""),"Completo")</f>
        <v>Completo</v>
      </c>
    </row>
    <row r="83" customFormat="false" ht="14.25" hidden="false" customHeight="false" outlineLevel="0" collapsed="false">
      <c r="A83" s="18" t="str">
        <f aca="false">IFERROR(MID(D83,1,FIND("|",D83)-1)&amp;"-"&amp;C83,"")</f>
        <v>AICI202006-22-1-2</v>
      </c>
      <c r="B83" s="19" t="n">
        <f aca="false">IFERROR(__xludf.dummyfunction("""COMPUTED_VALUE"""),44526)</f>
        <v>44526</v>
      </c>
      <c r="C83" s="0" t="n">
        <f aca="false">IFERROR(__xludf.dummyfunction("""COMPUTED_VALUE"""),2)</f>
        <v>2</v>
      </c>
      <c r="D83" s="0" t="str">
        <f aca="false">IFERROR(__xludf.dummyfunction("""COMPUTED_VALUE"""),"AICI202006-22-1| Implementar el sistema tecnológico Sinergy, el cual liquida las incapacidades de acuerdo a la información reportada en el documentos emitido por la EPS. (01/01/2021 - 30/06/2021)")</f>
        <v>AICI202006-22-1| Implementar el sistema tecnológico Sinergy, el cual liquida las incapacidades de acuerdo a la información reportada en el documentos emitido por la EPS. (01/01/2021 - 30/06/2021)</v>
      </c>
      <c r="E83" s="0" t="str">
        <f aca="false">IFERROR(__xludf.dummyfunction("""COMPUTED_VALUE"""),"""El Ingeniero Luis Tristancho de OCI realizó la revisión del sistema Sinergy para la gestión de incapacidades, revisó el tema de parametrización  del sistema identificando la tabla de conceptos,  la lista de conceptos con marcación de bases, el grupo de "&amp;"parámetros  para el cálculo de incapacidades, evidenciando funcionamiento acorde a la acción de mejora generada. se anexan soportes de información revisada.
En lo referente al tema de los diagnósticos relacionados se informó que se hizo la consulta pertin"&amp;"ente a Salud y Seguridad en el trabajo y se recomendó solicitar la expedición de este concepto directamente al medico tratante que expida la incapacidad y esto es lo que se va a hacer desde el área de incapacidades.""")</f>
        <v>"El Ingeniero Luis Tristancho de OCI realizó la revisión del sistema Sinergy para la gestión de incapacidades, revisó el tema de parametrización  del sistema identificando la tabla de conceptos,  la lista de conceptos con marcación de bases, el grupo de parámetros  para el cálculo de incapacidades, evidenciando funcionamiento acorde a la acción de mejora generada. se anexan soportes de información revisada.
En lo referente al tema de los diagnósticos relacionados se informó que se hizo la consulta pertinente a Salud y Seguridad en el trabajo y se recomendó solicitar la expedición de este concepto directamente al medico tratante que expida la incapacidad y esto es lo que se va a hacer desde el área de incapacidades."</v>
      </c>
      <c r="F83" s="0" t="str">
        <f aca="false">IFERROR(__xludf.dummyfunction("""COMPUTED_VALUE"""),"Completo")</f>
        <v>Completo</v>
      </c>
    </row>
    <row r="84" customFormat="false" ht="14.25" hidden="false" customHeight="false" outlineLevel="0" collapsed="false">
      <c r="A84" s="18" t="str">
        <f aca="false">IFERROR(MID(D84,1,FIND("|",D84)-1)&amp;"-"&amp;C84,"")</f>
        <v>AICI202006-23-1-2</v>
      </c>
      <c r="B84" s="19" t="n">
        <f aca="false">IFERROR(__xludf.dummyfunction("""COMPUTED_VALUE"""),44526)</f>
        <v>44526</v>
      </c>
      <c r="C84" s="0" t="n">
        <f aca="false">IFERROR(__xludf.dummyfunction("""COMPUTED_VALUE"""),2)</f>
        <v>2</v>
      </c>
      <c r="D84" s="0" t="str">
        <f aca="false">IFERROR(__xludf.dummyfunction("""COMPUTED_VALUE"""),"AICI202006-23-1| Implementar el sistema tecnológico Sinergy, el cual liquida las incapacidades de acuerdo a la información reportada en el documentos emitido por la EPS. (01/01/2021 - 30/06/2021)")</f>
        <v>AICI202006-23-1| Implementar el sistema tecnológico Sinergy, el cual liquida las incapacidades de acuerdo a la información reportada en el documentos emitido por la EPS. (01/01/2021 - 30/06/2021)</v>
      </c>
      <c r="E84" s="0" t="str">
        <f aca="false">IFERROR(__xludf.dummyfunction("""COMPUTED_VALUE"""),"""El Ingeniero Luis Tristancho de OCI realizó la revisión del sistema Sinergy para la gestión de incapacidades, revisó el tema de parametrización  del sistema identificando la tabla de conceptos,  la lista de conceptos con marcación de bases, el grupo de "&amp;"parámetros  para el cálculo de incapacidades, evidenciando funcionamiento acorde a la acción de mejora generada. se anexan soportes de información revisada.
En lo referente al tema de los diagnósticos relacionados se informó que se hizo la consulta pertin"&amp;"ente a Salud y Seguridad en el trabajo y se recomendó solicitar la expedición de este concepto directamente al medico tratante que expida la incapacidad y esto es lo que se va a hacer desde el área de incapacidades.""")</f>
        <v>"El Ingeniero Luis Tristancho de OCI realizó la revisión del sistema Sinergy para la gestión de incapacidades, revisó el tema de parametrización  del sistema identificando la tabla de conceptos,  la lista de conceptos con marcación de bases, el grupo de parámetros  para el cálculo de incapacidades, evidenciando funcionamiento acorde a la acción de mejora generada. se anexan soportes de información revisada.
En lo referente al tema de los diagnósticos relacionados se informó que se hizo la consulta pertinente a Salud y Seguridad en el trabajo y se recomendó solicitar la expedición de este concepto directamente al medico tratante que expida la incapacidad y esto es lo que se va a hacer desde el área de incapacidades."</v>
      </c>
      <c r="F84" s="0" t="str">
        <f aca="false">IFERROR(__xludf.dummyfunction("""COMPUTED_VALUE"""),"Completo")</f>
        <v>Completo</v>
      </c>
    </row>
    <row r="85" customFormat="false" ht="14.25" hidden="false" customHeight="false" outlineLevel="0" collapsed="false">
      <c r="A85" s="18" t="str">
        <f aca="false">IFERROR(MID(D85,1,FIND("|",D85)-1)&amp;"-"&amp;C85,"")</f>
        <v>AICI202006-13-2-2</v>
      </c>
      <c r="B85" s="19" t="n">
        <f aca="false">IFERROR(__xludf.dummyfunction("""COMPUTED_VALUE"""),44526)</f>
        <v>44526</v>
      </c>
      <c r="C85" s="0" t="n">
        <f aca="false">IFERROR(__xludf.dummyfunction("""COMPUTED_VALUE"""),2)</f>
        <v>2</v>
      </c>
      <c r="D85" s="0" t="str">
        <f aca="false">IFERROR(__xludf.dummyfunction("""COMPUTED_VALUE"""),"AICI202006-13-2| Incluír en la hoja de calculo diseñada para unificar el registro de incapacidades, la aplicación de los pagos realizados por las EAPB, derivados de las incapacidades de cada funcionario. (01/10/2021 - 31/12/2021)")</f>
        <v>AICI202006-13-2| Incluír en la hoja de calculo diseñada para unificar el registro de incapacidades, la aplicación de los pagos realizados por las EAPB, derivados de las incapacidades de cada funcionario. (01/10/2021 - 31/12/2021)</v>
      </c>
      <c r="E85" s="0" t="str">
        <f aca="false">IFERROR(__xludf.dummyfunction("""COMPUTED_VALUE"""),"Al revisar la hoja de cálculo del registro único de incapacidades, se evidencia  que en la actualidad no se están registrando los pagos realizados por las EAPB por concepto de incapacidades a los funcionarios. Solo se registró hasta marzo de 2021 esta inf"&amp;"ormación. ")</f>
        <v>Al revisar la hoja de cálculo del registro único de incapacidades, se evidencia  que en la actualidad no se están registrando los pagos realizados por las EAPB por concepto de incapacidades a los funcionarios. Solo se registró hasta marzo de 2021 esta información. </v>
      </c>
      <c r="F85" s="0" t="str">
        <f aca="false">IFERROR(__xludf.dummyfunction("""COMPUTED_VALUE"""),"En desarrollo")</f>
        <v>En desarrollo</v>
      </c>
    </row>
    <row r="86" customFormat="false" ht="14.25" hidden="false" customHeight="false" outlineLevel="0" collapsed="false">
      <c r="A86" s="18" t="str">
        <f aca="false">IFERROR(MID(D86,1,FIND("|",D86)-1)&amp;"-"&amp;C86,"")</f>
        <v>AICI202006-13-2-2</v>
      </c>
      <c r="B86" s="19" t="n">
        <f aca="false">IFERROR(__xludf.dummyfunction("""COMPUTED_VALUE"""),44526)</f>
        <v>44526</v>
      </c>
      <c r="C86" s="0" t="n">
        <f aca="false">IFERROR(__xludf.dummyfunction("""COMPUTED_VALUE"""),2)</f>
        <v>2</v>
      </c>
      <c r="D86" s="0" t="str">
        <f aca="false">IFERROR(__xludf.dummyfunction("""COMPUTED_VALUE"""),"AICI202006-13-2| Incluír en la hoja de calculo diseñada para unificar el registro de incapacidades, la aplicación de los pagos realizados por las EAPB, derivados de las incapacidades de cada funcionario. (01/10/2021 - 31/12/2021)")</f>
        <v>AICI202006-13-2| Incluír en la hoja de calculo diseñada para unificar el registro de incapacidades, la aplicación de los pagos realizados por las EAPB, derivados de las incapacidades de cada funcionario. (01/10/2021 - 31/12/2021)</v>
      </c>
      <c r="E86" s="0" t="str">
        <f aca="false">IFERROR(__xludf.dummyfunction("""COMPUTED_VALUE"""),"al revisar la hoja de calculo de registro de incapacidades no se evidencia la aplicación de pagos de las EAPB por concepto de incapacidades a los funcionarios. Este registro se hizo solo hasta marzo de 2021")</f>
        <v>al revisar la hoja de calculo de registro de incapacidades no se evidencia la aplicación de pagos de las EAPB por concepto de incapacidades a los funcionarios. Este registro se hizo solo hasta marzo de 2021</v>
      </c>
      <c r="F86" s="0" t="str">
        <f aca="false">IFERROR(__xludf.dummyfunction("""COMPUTED_VALUE"""),"En desarrollo")</f>
        <v>En desarrollo</v>
      </c>
    </row>
    <row r="87" customFormat="false" ht="14.25" hidden="false" customHeight="false" outlineLevel="0" collapsed="false">
      <c r="A87" s="18" t="str">
        <f aca="false">IFERROR(MID(D87,1,FIND("|",D87)-1)&amp;"-"&amp;C87,"")</f>
        <v>AICI202006-17-1-2</v>
      </c>
      <c r="B87" s="19" t="n">
        <f aca="false">IFERROR(__xludf.dummyfunction("""COMPUTED_VALUE"""),44526)</f>
        <v>44526</v>
      </c>
      <c r="C87" s="0" t="n">
        <f aca="false">IFERROR(__xludf.dummyfunction("""COMPUTED_VALUE"""),2)</f>
        <v>2</v>
      </c>
      <c r="D87" s="0" t="str">
        <f aca="false">IFERROR(__xludf.dummyfunction("""COMPUTED_VALUE"""),"AICI202006-17-1| Unificar los registros del proceso de incapacidades en un único archivo que permita el control de la fecha de radicación ante la EAPB... (01/03/2020 - 30/04/2020)")</f>
        <v>AICI202006-17-1| Unificar los registros del proceso de incapacidades en un único archivo que permita el control de la fecha de radicación ante la EAPB... (01/03/2020 - 30/04/2020)</v>
      </c>
      <c r="E87" s="0" t="str">
        <f aca="false">IFERROR(__xludf.dummyfunction("""COMPUTED_VALUE"""),"En el seguimiento se observó que en el archivo único ""registro de incapacidades, se diligencian las fechas de radicación y allí mismo se genera el control, esto para incapacidades de 2021 en adelante, para los años anteriores se lleva un cuadro en excel "&amp;"con el histórico de las incapacidades y su radicación, dado que esta información no pudo ser ingresada en el sistema de sinergy ya que este se adopto hasta el año 2021. ")</f>
        <v>En el seguimiento se observó que en el archivo único "registro de incapacidades, se diligencian las fechas de radicación y allí mismo se genera el control, esto para incapacidades de 2021 en adelante, para los años anteriores se lleva un cuadro en excel con el histórico de las incapacidades y su radicación, dado que esta información no pudo ser ingresada en el sistema de sinergy ya que este se adopto hasta el año 2021. </v>
      </c>
      <c r="F87" s="0" t="str">
        <f aca="false">IFERROR(__xludf.dummyfunction("""COMPUTED_VALUE"""),"Completo")</f>
        <v>Completo</v>
      </c>
    </row>
    <row r="88" customFormat="false" ht="14.25" hidden="false" customHeight="false" outlineLevel="0" collapsed="false">
      <c r="A88" s="18" t="str">
        <f aca="false">IFERROR(MID(D88,1,FIND("|",D88)-1)&amp;"-"&amp;C88,"")</f>
        <v>AICI202006-22-2-2</v>
      </c>
      <c r="B88" s="19" t="n">
        <f aca="false">IFERROR(__xludf.dummyfunction("""COMPUTED_VALUE"""),44526)</f>
        <v>44526</v>
      </c>
      <c r="C88" s="0" t="n">
        <f aca="false">IFERROR(__xludf.dummyfunction("""COMPUTED_VALUE"""),2)</f>
        <v>2</v>
      </c>
      <c r="D88" s="0" t="str">
        <f aca="false">IFERROR(__xludf.dummyfunction("""COMPUTED_VALUE"""),"AICI202006-22-2| Ejecutar una copia de seguridad al registro de incapacidades de manera semanal la cual se resguardará en un equipo alternativo, dejando una copia en DVD (01/10/2021 - 31/12/2021)")</f>
        <v>AICI202006-22-2| Ejecutar una copia de seguridad al registro de incapacidades de manera semanal la cual se resguardará en un equipo alternativo, dejando una copia en DVD (01/10/2021 - 31/12/2021)</v>
      </c>
      <c r="E88" s="0" t="str">
        <f aca="false">IFERROR(__xludf.dummyfunction("""COMPUTED_VALUE"""),"Se observa  que la oficina de sistemas  creo la carpeta ""Area de nómina incapacidades"" en el servidor DC 01 en el cual se está haciendo back up mensual, en cd se está llevando el back up semanal. ")</f>
        <v>Se observa  que la oficina de sistemas  creo la carpeta "Area de nómina incapacidades" en el servidor DC 01 en el cual se está haciendo back up mensual, en cd se está llevando el back up semanal. </v>
      </c>
      <c r="F88" s="0" t="str">
        <f aca="false">IFERROR(__xludf.dummyfunction("""COMPUTED_VALUE"""),"Completo")</f>
        <v>Completo</v>
      </c>
    </row>
    <row r="89" customFormat="false" ht="14.25" hidden="false" customHeight="false" outlineLevel="0" collapsed="false">
      <c r="A89" s="18" t="str">
        <f aca="false">IFERROR(MID(D89,1,FIND("|",D89)-1)&amp;"-"&amp;C89,"")</f>
        <v>AICI202006-25-1-2</v>
      </c>
      <c r="B89" s="19" t="n">
        <f aca="false">IFERROR(__xludf.dummyfunction("""COMPUTED_VALUE"""),44526)</f>
        <v>44526</v>
      </c>
      <c r="C89" s="0" t="n">
        <f aca="false">IFERROR(__xludf.dummyfunction("""COMPUTED_VALUE"""),2)</f>
        <v>2</v>
      </c>
      <c r="D89" s="0" t="str">
        <f aca="false">IFERROR(__xludf.dummyfunction("""COMPUTED_VALUE"""),"AICI202006-25-1| Ejecutar una copia de seguridad al registro de incapacidades de manera semanal la cual se resguardará en un equipo alternativo, dejando una copia en DVD (01/10/2021 - 31/12/2021)")</f>
        <v>AICI202006-25-1| Ejecutar una copia de seguridad al registro de incapacidades de manera semanal la cual se resguardará en un equipo alternativo, dejando una copia en DVD (01/10/2021 - 31/12/2021)</v>
      </c>
      <c r="E89" s="0" t="str">
        <f aca="false">IFERROR(__xludf.dummyfunction("""COMPUTED_VALUE"""),"Se observó que la oficina de sistemas creo la carpeta área nómina incapacidades en el sevidor Dc 01 y en ella se está realizando Back up mensual. en cd se lleva back up semanal")</f>
        <v>Se observó que la oficina de sistemas creo la carpeta área nómina incapacidades en el sevidor Dc 01 y en ella se está realizando Back up mensual. en cd se lleva back up semanal</v>
      </c>
      <c r="F89" s="0" t="str">
        <f aca="false">IFERROR(__xludf.dummyfunction("""COMPUTED_VALUE"""),"Completo")</f>
        <v>Completo</v>
      </c>
    </row>
    <row r="90" customFormat="false" ht="14.25" hidden="false" customHeight="false" outlineLevel="0" collapsed="false">
      <c r="A90" s="18" t="str">
        <f aca="false">IFERROR(MID(D90,1,FIND("|",D90)-1)&amp;"-"&amp;C90,"")</f>
        <v>AICI202006-23-2-2</v>
      </c>
      <c r="B90" s="19" t="n">
        <f aca="false">IFERROR(__xludf.dummyfunction("""COMPUTED_VALUE"""),44526)</f>
        <v>44526</v>
      </c>
      <c r="C90" s="0" t="n">
        <f aca="false">IFERROR(__xludf.dummyfunction("""COMPUTED_VALUE"""),2)</f>
        <v>2</v>
      </c>
      <c r="D90" s="0" t="str">
        <f aca="false">IFERROR(__xludf.dummyfunction("""COMPUTED_VALUE"""),"AICI202006-23-2| Unificar los registros del proceso de incapacidades en una única hoja de calculo que permita el ingreso, la supervisión y el control de la información asociada al procedimiento. (01/01/2021 - 30/06/2021)")</f>
        <v>AICI202006-23-2| Unificar los registros del proceso de incapacidades en una única hoja de calculo que permita el ingreso, la supervisión y el control de la información asociada al procedimiento. (01/01/2021 - 30/06/2021)</v>
      </c>
      <c r="E90" s="0" t="str">
        <f aca="false">IFERROR(__xludf.dummyfunction("""COMPUTED_VALUE"""),"Con Ayuda del ingeniero Luis Tristancho, se realizó verificación  de la hoja de cálculo ""Registro de incapacidades""  establecida como archivo único para consolidar y controlar la información  derivada de la gestión de incapacidades, junto con el aplicat"&amp;"ivo de Sinergy. En esta hoja se observa la inclusión de la información necesaria para registrar, gestionar y controlar las incapacidades.  La formulación de este archivo cuenta los controles requeridos para garantizar adecuada gestión de la información y "&amp;"la seguridad de la misma (tiene numero consecutivo,  evita la duplicidad de registros,  aplica controles a fechas de incapacidad diligenciadas, tiene alertas de numero de días, entre otros) El proceso de control se está realizando mediante la comparación "&amp;"de este archivo con el archivo generado después del tramite de incapacidades de Sinergy. ")</f>
        <v>Con Ayuda del ingeniero Luis Tristancho, se realizó verificación  de la hoja de cálculo "Registro de incapacidades"  establecida como archivo único para consolidar y controlar la información  derivada de la gestión de incapacidades, junto con el aplicativo de Sinergy. En esta hoja se observa la inclusión de la información necesaria para registrar, gestionar y controlar las incapacidades.  La formulación de este archivo cuenta los controles requeridos para garantizar adecuada gestión de la información y la seguridad de la misma (tiene numero consecutivo,  evita la duplicidad de registros,  aplica controles a fechas de incapacidad diligenciadas, tiene alertas de numero de días, entre otros) El proceso de control se está realizando mediante la comparación de este archivo con el archivo generado después del tramite de incapacidades de Sinergy. </v>
      </c>
      <c r="F90" s="0" t="str">
        <f aca="false">IFERROR(__xludf.dummyfunction("""COMPUTED_VALUE"""),"Completo")</f>
        <v>Completo</v>
      </c>
    </row>
    <row r="91" customFormat="false" ht="14.25" hidden="false" customHeight="false" outlineLevel="0" collapsed="false">
      <c r="A91" s="18" t="str">
        <f aca="false">IFERROR(MID(D91,1,FIND("|",D91)-1)&amp;"-"&amp;C91,"")</f>
        <v>AICI202006-26-1-2</v>
      </c>
      <c r="B91" s="19" t="n">
        <f aca="false">IFERROR(__xludf.dummyfunction("""COMPUTED_VALUE"""),44526)</f>
        <v>44526</v>
      </c>
      <c r="C91" s="0" t="n">
        <f aca="false">IFERROR(__xludf.dummyfunction("""COMPUTED_VALUE"""),2)</f>
        <v>2</v>
      </c>
      <c r="D91" s="0" t="str">
        <f aca="false">IFERROR(__xludf.dummyfunction("""COMPUTED_VALUE"""),"AICI202006-26-1| Unificar los registros del proceso de incapacidades en un único archivo aplicando los controles necesarios para evitar los errores de registro (01/10/2021 - 31/12/2021)")</f>
        <v>AICI202006-26-1| Unificar los registros del proceso de incapacidades en un único archivo aplicando los controles necesarios para evitar los errores de registro (01/10/2021 - 31/12/2021)</v>
      </c>
      <c r="E91" s="0" t="str">
        <f aca="false">IFERROR(__xludf.dummyfunction("""COMPUTED_VALUE"""),"Con Ayuda del ingeniero Luis Tristancho, se realizó verificación  de la hoja de cálculo ""Registro de incapacidades""  establecida como archivo único para consolidar y controlar la información  derivada de la gestión de incapacidades, junto con el aplicat"&amp;"ivo de Sinergy. En esta hoja se observa la inclusión de la información necesaria para registrar, gestionar y controlar las incapacidades.  La formulación de este archivo cuenta los controles requeridos para garantizar adecuada gestión de la información y "&amp;"la seguridad de la misma (tiene numero consecutivo,  evita la duplicidad de registros,  aplica controles a fechas de incapacidad diligenciadas, tiene alertas de numero de días, entre otros) El proceso de control se está realizando mediante la comparación "&amp;"de este archivo con el archivo generado después del tramite de incapacidades de Sinergy. ")</f>
        <v>Con Ayuda del ingeniero Luis Tristancho, se realizó verificación  de la hoja de cálculo "Registro de incapacidades"  establecida como archivo único para consolidar y controlar la información  derivada de la gestión de incapacidades, junto con el aplicativo de Sinergy. En esta hoja se observa la inclusión de la información necesaria para registrar, gestionar y controlar las incapacidades.  La formulación de este archivo cuenta los controles requeridos para garantizar adecuada gestión de la información y la seguridad de la misma (tiene numero consecutivo,  evita la duplicidad de registros,  aplica controles a fechas de incapacidad diligenciadas, tiene alertas de numero de días, entre otros) El proceso de control se está realizando mediante la comparación de este archivo con el archivo generado después del tramite de incapacidades de Sinergy. </v>
      </c>
      <c r="F91" s="0" t="str">
        <f aca="false">IFERROR(__xludf.dummyfunction("""COMPUTED_VALUE"""),"Completo")</f>
        <v>Completo</v>
      </c>
    </row>
    <row r="92" customFormat="false" ht="14.25" hidden="false" customHeight="false" outlineLevel="0" collapsed="false">
      <c r="A92" s="18" t="str">
        <f aca="false">IFERROR(MID(D92,1,FIND("|",D92)-1)&amp;"-"&amp;C92,"")</f>
        <v>AICI202006-1-1-3</v>
      </c>
      <c r="B92" s="19" t="n">
        <f aca="false">IFERROR(__xludf.dummyfunction("""COMPUTED_VALUE"""),44587)</f>
        <v>44587</v>
      </c>
      <c r="C92" s="0" t="n">
        <f aca="false">IFERROR(__xludf.dummyfunction("""COMPUTED_VALUE"""),3)</f>
        <v>3</v>
      </c>
      <c r="D92" s="0" t="str">
        <f aca="false">IFERROR(__xludf.dummyfunction("""COMPUTED_VALUE"""),"AICI202006-1-1| Solicitar al área de comunicaciones la socialización a cada uno de los correos de los funcionarios el instructivo de incapacidades - (05/04/2021 - 31/08/2021)")</f>
        <v>AICI202006-1-1| Solicitar al área de comunicaciones la socialización a cada uno de los correos de los funcionarios el instructivo de incapacidades - (05/04/2021 - 31/08/2021)</v>
      </c>
      <c r="E92" s="0" t="str">
        <f aca="false">IFERROR(__xludf.dummyfunction("""COMPUTED_VALUE"""),"Esta acción se completó en los seguimientos anteriores.")</f>
        <v>Esta acción se completó en los seguimientos anteriores.</v>
      </c>
      <c r="F92" s="0" t="str">
        <f aca="false">IFERROR(__xludf.dummyfunction("""COMPUTED_VALUE"""),"Completo")</f>
        <v>Completo</v>
      </c>
    </row>
    <row r="93" customFormat="false" ht="14.25" hidden="false" customHeight="false" outlineLevel="0" collapsed="false">
      <c r="A93" s="18" t="str">
        <f aca="false">IFERROR(MID(D93,1,FIND("|",D93)-1)&amp;"-"&amp;C93,"")</f>
        <v>AICI202006-1-2-3</v>
      </c>
      <c r="B93" s="19" t="n">
        <f aca="false">IFERROR(__xludf.dummyfunction("""COMPUTED_VALUE"""),44587)</f>
        <v>44587</v>
      </c>
      <c r="C93" s="0" t="n">
        <f aca="false">IFERROR(__xludf.dummyfunction("""COMPUTED_VALUE"""),3)</f>
        <v>3</v>
      </c>
      <c r="D93" s="0" t="str">
        <f aca="false">IFERROR(__xludf.dummyfunction("""COMPUTED_VALUE"""),"AICI202006-1-2| Enviar la circular de incapacidades para el cumplimento del reporte mensual por cada una de las áreas (05/04/2021 - 31/08/2021)")</f>
        <v>AICI202006-1-2| Enviar la circular de incapacidades para el cumplimento del reporte mensual por cada una de las áreas (05/04/2021 - 31/08/2021)</v>
      </c>
      <c r="E93" s="0" t="str">
        <f aca="false">IFERROR(__xludf.dummyfunction("""COMPUTED_VALUE"""),"Esta acción se completó en los seguimientos anteriores")</f>
        <v>Esta acción se completó en los seguimientos anteriores</v>
      </c>
      <c r="F93" s="0" t="str">
        <f aca="false">IFERROR(__xludf.dummyfunction("""COMPUTED_VALUE"""),"Completo")</f>
        <v>Completo</v>
      </c>
    </row>
    <row r="94" customFormat="false" ht="14.25" hidden="false" customHeight="false" outlineLevel="0" collapsed="false">
      <c r="A94" s="18" t="str">
        <f aca="false">IFERROR(MID(D94,1,FIND("|",D94)-1)&amp;"-"&amp;C94,"")</f>
        <v>AICI202006-2-1-3</v>
      </c>
      <c r="B94" s="19" t="n">
        <f aca="false">IFERROR(__xludf.dummyfunction("""COMPUTED_VALUE"""),44587)</f>
        <v>44587</v>
      </c>
      <c r="C94" s="0" t="n">
        <f aca="false">IFERROR(__xludf.dummyfunction("""COMPUTED_VALUE"""),3)</f>
        <v>3</v>
      </c>
      <c r="D94" s="0" t="str">
        <f aca="false">IFERROR(__xludf.dummyfunction("""COMPUTED_VALUE"""),"AICI202006-2-1| Actualizar el instructivo de Incapacidades AP-TH-I-24-02 y solicitar al área de Calidad su normalización, (05/04/2021 - 31/08/2021)")</f>
        <v>AICI202006-2-1| Actualizar el instructivo de Incapacidades AP-TH-I-24-02 y solicitar al área de Calidad su normalización, (05/04/2021 - 31/08/2021)</v>
      </c>
      <c r="E94" s="0" t="str">
        <f aca="false">IFERROR(__xludf.dummyfunction("""COMPUTED_VALUE"""),"Esta acción se completó en los seguimientos anteriores.")</f>
        <v>Esta acción se completó en los seguimientos anteriores.</v>
      </c>
      <c r="F94" s="0" t="str">
        <f aca="false">IFERROR(__xludf.dummyfunction("""COMPUTED_VALUE"""),"Completo")</f>
        <v>Completo</v>
      </c>
    </row>
    <row r="95" customFormat="false" ht="14.25" hidden="false" customHeight="false" outlineLevel="0" collapsed="false">
      <c r="A95" s="18" t="str">
        <f aca="false">IFERROR(MID(D95,1,FIND("|",D95)-1)&amp;"-"&amp;C95,"")</f>
        <v>AICI202006-4-1-3</v>
      </c>
      <c r="B95" s="19" t="n">
        <f aca="false">IFERROR(__xludf.dummyfunction("""COMPUTED_VALUE"""),44588)</f>
        <v>44588</v>
      </c>
      <c r="C95" s="0" t="n">
        <f aca="false">IFERROR(__xludf.dummyfunction("""COMPUTED_VALUE"""),3)</f>
        <v>3</v>
      </c>
      <c r="D95" s="0" t="str">
        <f aca="false">IFERROR(__xludf.dummyfunction("""COMPUTED_VALUE"""),"AICI202006-4-1| Unificar los registros del proceso de incapacidades en un único archivo que permita el ingreso, la supervisión y el control de la información asociada al procedimiento. (01/10/2021 - 31/12/2021)")</f>
        <v>AICI202006-4-1| Unificar los registros del proceso de incapacidades en un único archivo que permita el ingreso, la supervisión y el control de la información asociada al procedimiento. (01/10/2021 - 31/12/2021)</v>
      </c>
      <c r="E95" s="0" t="str">
        <f aca="false">IFERROR(__xludf.dummyfunction("""COMPUTED_VALUE"""),"Esta acción se completó en los seguimientos anteriores")</f>
        <v>Esta acción se completó en los seguimientos anteriores</v>
      </c>
      <c r="F95" s="0" t="str">
        <f aca="false">IFERROR(__xludf.dummyfunction("""COMPUTED_VALUE"""),"Completo")</f>
        <v>Completo</v>
      </c>
    </row>
    <row r="96" customFormat="false" ht="14.25" hidden="false" customHeight="false" outlineLevel="0" collapsed="false">
      <c r="A96" s="18" t="str">
        <f aca="false">IFERROR(MID(D96,1,FIND("|",D96)-1)&amp;"-"&amp;C96,"")</f>
        <v>AICI202006-3-1-3</v>
      </c>
      <c r="B96" s="19" t="n">
        <f aca="false">IFERROR(__xludf.dummyfunction("""COMPUTED_VALUE"""),44587)</f>
        <v>44587</v>
      </c>
      <c r="C96" s="0" t="n">
        <f aca="false">IFERROR(__xludf.dummyfunction("""COMPUTED_VALUE"""),3)</f>
        <v>3</v>
      </c>
      <c r="D96" s="0" t="str">
        <f aca="false">IFERROR(__xludf.dummyfunction("""COMPUTED_VALUE"""),"AICI202006-3-1| Asignar a la profesional Marcela Iglesias para ejercer las labores de apoyo y control y a Adriana Cristancho para el monitoreo y seguimiento al proceso de Incapacidades. (22/02/2020 - 15/03/2021)")</f>
        <v>AICI202006-3-1| Asignar a la profesional Marcela Iglesias para ejercer las labores de apoyo y control y a Adriana Cristancho para el monitoreo y seguimiento al proceso de Incapacidades. (22/02/2020 - 15/03/2021)</v>
      </c>
      <c r="E96" s="0" t="str">
        <f aca="false">IFERROR(__xludf.dummyfunction("""COMPUTED_VALUE"""),"Se  informa en el avance que ""se presentan actas de reunión del seguimiento del proceso de nómina donde se menciona incapacidades y con el área financiera donde la funcionaria Marcela Iglesias se encuentra apoyando el proceso de incapacidades"". Al revis"&amp;"ar el soporte se observa un acta de ""Reunión articulación Dirección de Talento Humano – Dirección Financiera"" del 3/11/2021, esta acta se encuentra en word, no tiene firmas de asistentes y no describe la actividades de la profesional Marcela Iglesias fr"&amp;"ente a la gestión de las incapacidades, por lo cual no da cumplimiento a la acción. 
En reunión de revisión de inquietudes del plan de mejora de incapacidades sostenida en el mes de diciembre de 2021 con la Dra. Cindy Ahumada Jefe de Talento humano, Marce"&amp;"la Iglesias, jefe de control interno y la auditora OCI, se acordó enviar como soporte de la acción el contrato de Adriana Cristancho jefe de nómina con las actividades contratadas y los soportes de comunicaciones enviadas por la Dra. Cindy a la profesiona"&amp;"l Marcela Iglesias para soportar las labores de de monitoreo  y  de apoyo y control respectivamente, estos soportes no se enviaron para este seguimiento. ")</f>
        <v>Se  informa en el avance que "se presentan actas de reunión del seguimiento del proceso de nómina donde se menciona incapacidades y con el área financiera donde la funcionaria Marcela Iglesias se encuentra apoyando el proceso de incapacidades". Al revisar el soporte se observa un acta de "Reunión articulación Dirección de Talento Humano – Dirección Financiera" del 3/11/2021, esta acta se encuentra en word, no tiene firmas de asistentes y no describe la actividades de la profesional Marcela Iglesias frente a la gestión de las incapacidades, por lo cual no da cumplimiento a la acción. 
En reunión de revisión de inquietudes del plan de mejora de incapacidades sostenida en el mes de diciembre de 2021 con la Dra. Cindy Ahumada Jefe de Talento humano, Marcela Iglesias, jefe de control interno y la auditora OCI, se acordó enviar como soporte de la acción el contrato de Adriana Cristancho jefe de nómina con las actividades contratadas y los soportes de comunicaciones enviadas por la Dra. Cindy a la profesional Marcela Iglesias para soportar las labores de de monitoreo  y  de apoyo y control respectivamente, estos soportes no se enviaron para este seguimiento. </v>
      </c>
      <c r="F96" s="0" t="str">
        <f aca="false">IFERROR(__xludf.dummyfunction("""COMPUTED_VALUE"""),"Atrasado")</f>
        <v>Atrasado</v>
      </c>
    </row>
    <row r="97" customFormat="false" ht="14.25" hidden="false" customHeight="false" outlineLevel="0" collapsed="false">
      <c r="A97" s="18" t="str">
        <f aca="false">IFERROR(MID(D97,1,FIND("|",D97)-1)&amp;"-"&amp;C97,"")</f>
        <v>AICI202006-5-1-3</v>
      </c>
      <c r="B97" s="19" t="n">
        <f aca="false">IFERROR(__xludf.dummyfunction("""COMPUTED_VALUE"""),44588)</f>
        <v>44588</v>
      </c>
      <c r="C97" s="0" t="n">
        <f aca="false">IFERROR(__xludf.dummyfunction("""COMPUTED_VALUE"""),3)</f>
        <v>3</v>
      </c>
      <c r="D97" s="0" t="str">
        <f aca="false">IFERROR(__xludf.dummyfunction("""COMPUTED_VALUE"""),"AICI202006-5-1| Realizar análisis cuidadoso de los riesgos que pueden presentarse en la ejecución del procedimiento de incapacidades... (05/04/2021 - 30/11/2021)")</f>
        <v>AICI202006-5-1| Realizar análisis cuidadoso de los riesgos que pueden presentarse en la ejecución del procedimiento de incapacidades... (05/04/2021 - 30/11/2021)</v>
      </c>
      <c r="E97" s="0" t="str">
        <f aca="false">IFERROR(__xludf.dummyfunction("""COMPUTED_VALUE"""),"Se informa que ""En el Mapa de Riesgos del área se encuentra centrados en la nómina general y no por cada proceso que interviene. - teniendo en cuenta que los riesgos del proceso de incapacidades disminuyeron en el momento que se mejora el cuadro de regis"&amp;"tro de incapacidades y se implementa el sistema de información Sinergy, estas herramientas identifican y alertan varios riesgos que se podían presentar.  - El soporte es el cuadro de registro que fue revisado por el Ingeniero Luis Antonio Tristancho -audi"&amp;"tor de la oficina de Control Interno, este cuadro no se puede enviar por contener información personal y privada de los funcionarios""""
El cuadro de incapacidades y el sistema de información Sinergy referidos, no son un soporte de análisis  e identifican"&amp;" riesgos, son herramientas para diligenciamiento y control de información de incapacidades, por lo tanto no pueden avalarse para el cumplimiento de la acción. Se explico desde el primer seguimiento que es necesario presentar los soportes correspondientes "&amp;"del análisis de riesgos, se recomienda solicitar asesoría sobre este tema al área de Desarrollo Institucional, para  ejecutar la acción planteada.")</f>
        <v>Se informa que "En el Mapa de Riesgos del área se encuentra centrados en la nómina general y no por cada proceso que interviene. - teniendo en cuenta que los riesgos del proceso de incapacidades disminuyeron en el momento que se mejora el cuadro de registro de incapacidades y se implementa el sistema de información Sinergy, estas herramientas identifican y alertan varios riesgos que se podían presentar.  - El soporte es el cuadro de registro que fue revisado por el Ingeniero Luis Antonio Tristancho -auditor de la oficina de Control Interno, este cuadro no se puede enviar por contener información personal y privada de los funcionarios""
El cuadro de incapacidades y el sistema de información Sinergy referidos, no son un soporte de análisis  e identifican riesgos, son herramientas para diligenciamiento y control de información de incapacidades, por lo tanto no pueden avalarse para el cumplimiento de la acción. Se explico desde el primer seguimiento que es necesario presentar los soportes correspondientes del análisis de riesgos, se recomienda solicitar asesoría sobre este tema al área de Desarrollo Institucional, para  ejecutar la acción planteada.</v>
      </c>
      <c r="F97" s="0" t="str">
        <f aca="false">IFERROR(__xludf.dummyfunction("""COMPUTED_VALUE"""),"Atrasado")</f>
        <v>Atrasado</v>
      </c>
    </row>
    <row r="98" customFormat="false" ht="14.25" hidden="false" customHeight="false" outlineLevel="0" collapsed="false">
      <c r="A98" s="18" t="str">
        <f aca="false">IFERROR(MID(D98,1,FIND("|",D98)-1)&amp;"-"&amp;C98,"")</f>
        <v>AICI202006-5-2-3</v>
      </c>
      <c r="B98" s="19" t="n">
        <f aca="false">IFERROR(__xludf.dummyfunction("""COMPUTED_VALUE"""),44588)</f>
        <v>44588</v>
      </c>
      <c r="C98" s="0" t="n">
        <f aca="false">IFERROR(__xludf.dummyfunction("""COMPUTED_VALUE"""),3)</f>
        <v>3</v>
      </c>
      <c r="D98" s="0" t="str">
        <f aca="false">IFERROR(__xludf.dummyfunction("""COMPUTED_VALUE"""),"AICI202006-5-2| Realizar conciliaciones mensuales con las áreas financieras como cartera, contabilidad y facturación. (05/04/2021 - 30/11/2021)")</f>
        <v>AICI202006-5-2| Realizar conciliaciones mensuales con las áreas financieras como cartera, contabilidad y facturación. (05/04/2021 - 30/11/2021)</v>
      </c>
      <c r="E98" s="0" t="str">
        <f aca="false">IFERROR(__xludf.dummyfunction("""COMPUTED_VALUE"""),"Se evidencian actas de Reunión de conciliación entre talento humano, cartera y facturación  y formato de actas de conciliación entre incapacidades-talento humano y contabilidad. de los meses de junio a Diciembre de 2021 con lo cual se da cumplimiento a la"&amp;" acción propuesta. Se verifican actas, no se pueden subir todas, por el peso de los archivos.")</f>
        <v>Se evidencian actas de Reunión de conciliación entre talento humano, cartera y facturación  y formato de actas de conciliación entre incapacidades-talento humano y contabilidad. de los meses de junio a Diciembre de 2021 con lo cual se da cumplimiento a la acción propuesta. Se verifican actas, no se pueden subir todas, por el peso de los archivos.</v>
      </c>
      <c r="F98" s="0" t="str">
        <f aca="false">IFERROR(__xludf.dummyfunction("""COMPUTED_VALUE"""),"Completo")</f>
        <v>Completo</v>
      </c>
    </row>
    <row r="99" customFormat="false" ht="14.25" hidden="false" customHeight="false" outlineLevel="0" collapsed="false">
      <c r="A99" s="18" t="str">
        <f aca="false">IFERROR(MID(D99,1,FIND("|",D99)-1)&amp;"-"&amp;C99,"")</f>
        <v>AICI202006-5-3-3</v>
      </c>
      <c r="B99" s="19" t="n">
        <f aca="false">IFERROR(__xludf.dummyfunction("""COMPUTED_VALUE"""),44588)</f>
        <v>44588</v>
      </c>
      <c r="C99" s="0" t="n">
        <f aca="false">IFERROR(__xludf.dummyfunction("""COMPUTED_VALUE"""),3)</f>
        <v>3</v>
      </c>
      <c r="D99" s="0" t="str">
        <f aca="false">IFERROR(__xludf.dummyfunction("""COMPUTED_VALUE"""),"AICI202006-5-3| Realizar reuiniones con los abogados del área de Talento Humano para la idenficación de los riesgos jurídicos. (05/04/2021 - 30/11/2021)")</f>
        <v>AICI202006-5-3| Realizar reuiniones con los abogados del área de Talento Humano para la idenficación de los riesgos jurídicos. (05/04/2021 - 30/11/2021)</v>
      </c>
      <c r="E99" s="0" t="str">
        <f aca="false">IFERROR(__xludf.dummyfunction("""COMPUTED_VALUE"""),"Se informa que ""se realizó un trabajo con los abogados del área el día 2 correos"". Se revisan correos enviados, los cuales refieren solamente la citación a la reunión, envío de instructivo y respuesta indicando correcciones, no se allegan actas de reuni"&amp;"ón que indique el contenido de la información revisada, si se realizó identificación de riesgos conforme a lo estipulado en la acción formulada, asistentes, etc. por lo cual el soporte presentado no da respuesta a lo planteado en la acción.")</f>
        <v>Se informa que "se realizó un trabajo con los abogados del área el día 2 correos". Se revisan correos enviados, los cuales refieren solamente la citación a la reunión, envío de instructivo y respuesta indicando correcciones, no se allegan actas de reunión que indique el contenido de la información revisada, si se realizó identificación de riesgos conforme a lo estipulado en la acción formulada, asistentes, etc. por lo cual el soporte presentado no da respuesta a lo planteado en la acción.</v>
      </c>
      <c r="F99" s="0" t="str">
        <f aca="false">IFERROR(__xludf.dummyfunction("""COMPUTED_VALUE"""),"Atrasado")</f>
        <v>Atrasado</v>
      </c>
    </row>
    <row r="100" customFormat="false" ht="14.25" hidden="false" customHeight="false" outlineLevel="0" collapsed="false">
      <c r="A100" s="18" t="str">
        <f aca="false">IFERROR(MID(D100,1,FIND("|",D100)-1)&amp;"-"&amp;C100,"")</f>
        <v>AICI202006-6-1-3</v>
      </c>
      <c r="B100" s="19" t="n">
        <f aca="false">IFERROR(__xludf.dummyfunction("""COMPUTED_VALUE"""),44588)</f>
        <v>44588</v>
      </c>
      <c r="C100" s="0" t="n">
        <f aca="false">IFERROR(__xludf.dummyfunction("""COMPUTED_VALUE"""),3)</f>
        <v>3</v>
      </c>
      <c r="D100" s="0" t="str">
        <f aca="false">IFERROR(__xludf.dummyfunction("""COMPUTED_VALUE"""),"AICI202006-6-1| Realizar un muestreo trimestral de los registros de incapacidades, con el fin de identificar los posibles errores generados en el proceso y tomar los correctivos necesarios. (05/04/2021 - 30/11/2021)")</f>
        <v>AICI202006-6-1| Realizar un muestreo trimestral de los registros de incapacidades, con el fin de identificar los posibles errores generados en el proceso y tomar los correctivos necesarios. (05/04/2021 - 30/11/2021)</v>
      </c>
      <c r="E100" s="0" t="str">
        <f aca="false">IFERROR(__xludf.dummyfunction("""COMPUTED_VALUE"""),"Se informa que "" se realiza la verificación del universo de los registros  se anexa reporte generado por el sistema de información sinergy mes de noviembre 2021 "", al verificar el archivo enviado se evidencia relación de incapacidades del mes de noviemb"&amp;"re, verificación valores liquidación,  relación por funcionario, relación por EPS.. Se anexa soporte. Se recuerda que conforme a la acción formulada esta actividad deberá seguirse realizando de manera trimestral, para mitigar los riesgos identificados. ")</f>
        <v>Se informa que " se realiza la verificación del universo de los registros  se anexa reporte generado por el sistema de información sinergy mes de noviembre 2021 ", al verificar el archivo enviado se evidencia relación de incapacidades del mes de noviembre, verificación valores liquidación,  relación por funcionario, relación por EPS.. Se anexa soporte. Se recuerda que conforme a la acción formulada esta actividad deberá seguirse realizando de manera trimestral, para mitigar los riesgos identificados. </v>
      </c>
      <c r="F100" s="0" t="str">
        <f aca="false">IFERROR(__xludf.dummyfunction("""COMPUTED_VALUE"""),"Completo")</f>
        <v>Completo</v>
      </c>
    </row>
    <row r="101" customFormat="false" ht="14.25" hidden="false" customHeight="false" outlineLevel="0" collapsed="false">
      <c r="A101" s="18" t="str">
        <f aca="false">IFERROR(MID(D101,1,FIND("|",D101)-1)&amp;"-"&amp;C101,"")</f>
        <v>AICI202006-7-1-3</v>
      </c>
      <c r="B101" s="19" t="n">
        <f aca="false">IFERROR(__xludf.dummyfunction("""COMPUTED_VALUE"""),44588)</f>
        <v>44588</v>
      </c>
      <c r="C101" s="0" t="n">
        <f aca="false">IFERROR(__xludf.dummyfunction("""COMPUTED_VALUE"""),3)</f>
        <v>3</v>
      </c>
      <c r="D101" s="0" t="str">
        <f aca="false">IFERROR(__xludf.dummyfunction("""COMPUTED_VALUE"""),"AICI202006-7-1| Actualizar el instructivo de Incapacidades AP-TH-I-24-02 como soporte del desarrollo de las actividades de Incapacidades y su regulación y solicitar al área de Calidad su normalización, (05/04/2021 - 31/08/2021)")</f>
        <v>AICI202006-7-1| Actualizar el instructivo de Incapacidades AP-TH-I-24-02 como soporte del desarrollo de las actividades de Incapacidades y su regulación y solicitar al área de Calidad su normalización, (05/04/2021 - 31/08/2021)</v>
      </c>
      <c r="E101" s="0" t="str">
        <f aca="false">IFERROR(__xludf.dummyfunction("""COMPUTED_VALUE"""),"El instructivo de incapacidades se encuentra normalizado, en el seguimiento anterior se explicó  que los formatos físicos y magnéticos  que se manejan en la gestión de incapacidades hacen parte integral del proceso y debían ser normalizados, a la fecha no"&amp;" se evidencian formatos normalizados. (Se presenta soporte de correo electrónico solicitando la normalización el día 18/01/2022 posterior a la fecha de corte del seguimiento)")</f>
        <v>El instructivo de incapacidades se encuentra normalizado, en el seguimiento anterior se explicó  que los formatos físicos y magnéticos  que se manejan en la gestión de incapacidades hacen parte integral del proceso y debían ser normalizados, a la fecha no se evidencian formatos normalizados. (Se presenta soporte de correo electrónico solicitando la normalización el día 18/01/2022 posterior a la fecha de corte del seguimiento)</v>
      </c>
      <c r="F101" s="0" t="str">
        <f aca="false">IFERROR(__xludf.dummyfunction("""COMPUTED_VALUE"""),"Atrasado")</f>
        <v>Atrasado</v>
      </c>
    </row>
    <row r="102" customFormat="false" ht="14.25" hidden="false" customHeight="false" outlineLevel="0" collapsed="false">
      <c r="A102" s="18" t="str">
        <f aca="false">IFERROR(MID(D102,1,FIND("|",D102)-1)&amp;"-"&amp;C102,"")</f>
        <v>AICI202006-8-1-3</v>
      </c>
      <c r="B102" s="19" t="n">
        <f aca="false">IFERROR(__xludf.dummyfunction("""COMPUTED_VALUE"""),44588)</f>
        <v>44588</v>
      </c>
      <c r="C102" s="0" t="n">
        <f aca="false">IFERROR(__xludf.dummyfunction("""COMPUTED_VALUE"""),3)</f>
        <v>3</v>
      </c>
      <c r="D102" s="0" t="str">
        <f aca="false">IFERROR(__xludf.dummyfunction("""COMPUTED_VALUE"""),"AICI202006-8-1| Asignar a Adriana Cristancho líder de Nómina para el monitoreo y seguimiento y a la profesional Marcela Iglesias para las labores de apoyo, gestión y control de al proceso incapacidades. (22/02/2021 - 15/03/2021)")</f>
        <v>AICI202006-8-1| Asignar a Adriana Cristancho líder de Nómina para el monitoreo y seguimiento y a la profesional Marcela Iglesias para las labores de apoyo, gestión y control de al proceso incapacidades. (22/02/2021 - 15/03/2021)</v>
      </c>
      <c r="E102" s="0" t="str">
        <f aca="false">IFERROR(__xludf.dummyfunction("""COMPUTED_VALUE"""),"Se  informa en el avance que ""se presentan actas de reunión del seguimiento del proceso de financiera donde se menciona incapacidades y con el área financiera donde la funcionaria Marcela Iglesias se encuentra apoyando el proceso de incapacidades"". Al r"&amp;"evisar el soporte se observa un acta de ""Reunión articulación Dirección de Talento Humano – Dirección Financiera"" del 3/11/2021, esta acta se encuentra en word, no tiene ningún tipo de firmas de asistentes y no describe la actividades de la profesional "&amp;"Marcela Iglesias en la gestión de las incapacidades.  por lo cual no da cumplimiento a la acción.
En reunión de revisión de inquietudes del plan de mejora de incapacidades sostenida en el mes de diciembre de 2021 con la Dra. Cindy Ahumada Jefe de Talento "&amp;"humano, Marcela Iglesias, jefe de control interno y la auditora OCI, se acordó el envío del contrato de Adriana Cristancho jefe de nómina con las actividades contratadas y soportes de comunicaciones enviadas por la Dra. Cindy a la profesional Marcela Igle"&amp;"sias para soportar las labores de de monitoreo  y  de apoyo y control respectivamente, estos soportes no se enviaron para este seguimiento. ")</f>
        <v>Se  informa en el avance que "se presentan actas de reunión del seguimiento del proceso de financiera donde se menciona incapacidades y con el área financiera donde la funcionaria Marcela Iglesias se encuentra apoyando el proceso de incapacidades". Al revisar el soporte se observa un acta de "Reunión articulación Dirección de Talento Humano – Dirección Financiera" del 3/11/2021, esta acta se encuentra en word, no tiene ningún tipo de firmas de asistentes y no describe la actividades de la profesional Marcela Iglesias en la gestión de las incapacidades.  por lo cual no da cumplimiento a la acción.
En reunión de revisión de inquietudes del plan de mejora de incapacidades sostenida en el mes de diciembre de 2021 con la Dra. Cindy Ahumada Jefe de Talento humano, Marcela Iglesias, jefe de control interno y la auditora OCI, se acordó el envío del contrato de Adriana Cristancho jefe de nómina con las actividades contratadas y soportes de comunicaciones enviadas por la Dra. Cindy a la profesional Marcela Iglesias para soportar las labores de de monitoreo  y  de apoyo y control respectivamente, estos soportes no se enviaron para este seguimiento. </v>
      </c>
      <c r="F102" s="0" t="str">
        <f aca="false">IFERROR(__xludf.dummyfunction("""COMPUTED_VALUE"""),"Atrasado")</f>
        <v>Atrasado</v>
      </c>
    </row>
    <row r="103" customFormat="false" ht="14.25" hidden="false" customHeight="false" outlineLevel="0" collapsed="false">
      <c r="A103" s="18" t="str">
        <f aca="false">IFERROR(MID(D103,1,FIND("|",D103)-1)&amp;"-"&amp;C103,"")</f>
        <v>AICI202006-9-1-3</v>
      </c>
      <c r="B103" s="19" t="n">
        <f aca="false">IFERROR(__xludf.dummyfunction("""COMPUTED_VALUE"""),44588)</f>
        <v>44588</v>
      </c>
      <c r="C103" s="0" t="n">
        <f aca="false">IFERROR(__xludf.dummyfunction("""COMPUTED_VALUE"""),3)</f>
        <v>3</v>
      </c>
      <c r="D103" s="0" t="str">
        <f aca="false">IFERROR(__xludf.dummyfunction("""COMPUTED_VALUE"""),"AICI202006-9-1| Implementar el sistema Sinergy, para la liquidación de las incapacidades de acuerdo con la normatividad vigente (01/01/2021 - 30/09/2021)")</f>
        <v>AICI202006-9-1| Implementar el sistema Sinergy, para la liquidación de las incapacidades de acuerdo con la normatividad vigente (01/01/2021 - 30/09/2021)</v>
      </c>
      <c r="E103" s="0" t="str">
        <f aca="false">IFERROR(__xludf.dummyfunction("""COMPUTED_VALUE"""),"Esta acción se completó en los seguimientos anteriores")</f>
        <v>Esta acción se completó en los seguimientos anteriores</v>
      </c>
      <c r="F103" s="0" t="str">
        <f aca="false">IFERROR(__xludf.dummyfunction("""COMPUTED_VALUE"""),"Completo")</f>
        <v>Completo</v>
      </c>
    </row>
    <row r="104" customFormat="false" ht="14.25" hidden="false" customHeight="false" outlineLevel="0" collapsed="false">
      <c r="A104" s="18" t="str">
        <f aca="false">IFERROR(MID(D104,1,FIND("|",D104)-1)&amp;"-"&amp;C104,"")</f>
        <v>AICI202006-9-2-3</v>
      </c>
      <c r="B104" s="19" t="n">
        <f aca="false">IFERROR(__xludf.dummyfunction("""COMPUTED_VALUE"""),44588)</f>
        <v>44588</v>
      </c>
      <c r="C104" s="0" t="n">
        <f aca="false">IFERROR(__xludf.dummyfunction("""COMPUTED_VALUE"""),3)</f>
        <v>3</v>
      </c>
      <c r="D104" s="0" t="str">
        <f aca="false">IFERROR(__xludf.dummyfunction("""COMPUTED_VALUE"""),"AICI202006-9-2| Asignar un técnico para la recepción y validación de las incapacides remitidas a talento humano por los canales dispuestos para tal fin. (01/04/2021 - 15/04/2021)")</f>
        <v>AICI202006-9-2| Asignar un técnico para la recepción y validación de las incapacides remitidas a talento humano por los canales dispuestos para tal fin. (01/04/2021 - 15/04/2021)</v>
      </c>
      <c r="E104" s="0" t="str">
        <f aca="false">IFERROR(__xludf.dummyfunction("""COMPUTED_VALUE"""),"Se informa que ""El técnico fue asignado en su momento, no obstante por problemas de tipo presupuestal ajenos al proceso de incapacidades, se está sustituyendo el técnico.""")</f>
        <v>Se informa que "El técnico fue asignado en su momento, no obstante por problemas de tipo presupuestal ajenos al proceso de incapacidades, se está sustituyendo el técnico."</v>
      </c>
      <c r="F104" s="0" t="str">
        <f aca="false">IFERROR(__xludf.dummyfunction("""COMPUTED_VALUE"""),"Atrasado")</f>
        <v>Atrasado</v>
      </c>
    </row>
    <row r="105" customFormat="false" ht="14.25" hidden="false" customHeight="false" outlineLevel="0" collapsed="false">
      <c r="A105" s="18" t="str">
        <f aca="false">IFERROR(MID(D105,1,FIND("|",D105)-1)&amp;"-"&amp;C105,"")</f>
        <v>AICI202006-10-1-3</v>
      </c>
      <c r="B105" s="19" t="n">
        <f aca="false">IFERROR(__xludf.dummyfunction("""COMPUTED_VALUE"""),44588)</f>
        <v>44588</v>
      </c>
      <c r="C105" s="0" t="n">
        <f aca="false">IFERROR(__xludf.dummyfunction("""COMPUTED_VALUE"""),3)</f>
        <v>3</v>
      </c>
      <c r="D105" s="0" t="str">
        <f aca="false">IFERROR(__xludf.dummyfunction("""COMPUTED_VALUE"""),"AICI202006-10-1| Actualizar el instructivo de Incapacidades AP-TH-I-24-02 y solicitar al área de Calidad su normalización - incluyendo los téminos de oportunidad de radicación de incapacidades (05/04/2021 - 31/08/2021)")</f>
        <v>AICI202006-10-1| Actualizar el instructivo de Incapacidades AP-TH-I-24-02 y solicitar al área de Calidad su normalización - incluyendo los téminos de oportunidad de radicación de incapacidades (05/04/2021 - 31/08/2021)</v>
      </c>
      <c r="E105" s="0" t="str">
        <f aca="false">IFERROR(__xludf.dummyfunction("""COMPUTED_VALUE"""),"Esta acción se completó en los seguimientos pasados")</f>
        <v>Esta acción se completó en los seguimientos pasados</v>
      </c>
      <c r="F105" s="0" t="str">
        <f aca="false">IFERROR(__xludf.dummyfunction("""COMPUTED_VALUE"""),"Completo")</f>
        <v>Completo</v>
      </c>
    </row>
    <row r="106" customFormat="false" ht="14.25" hidden="false" customHeight="false" outlineLevel="0" collapsed="false">
      <c r="A106" s="18" t="str">
        <f aca="false">IFERROR(MID(D106,1,FIND("|",D106)-1)&amp;"-"&amp;C106,"")</f>
        <v>AICI202006-11-1-3</v>
      </c>
      <c r="B106" s="19" t="n">
        <f aca="false">IFERROR(__xludf.dummyfunction("""COMPUTED_VALUE"""),44588)</f>
        <v>44588</v>
      </c>
      <c r="C106" s="0" t="n">
        <f aca="false">IFERROR(__xludf.dummyfunction("""COMPUTED_VALUE"""),3)</f>
        <v>3</v>
      </c>
      <c r="D106" s="0" t="str">
        <f aca="false">IFERROR(__xludf.dummyfunction("""COMPUTED_VALUE"""),"AICI202006-11-1| Actualizar el instructivo de Incapacidades AP-TH-I-24-02 y solicitar al área de Calidad su normalización . (05/04/2021 - 31/08/2021)")</f>
        <v>AICI202006-11-1| Actualizar el instructivo de Incapacidades AP-TH-I-24-02 y solicitar al área de Calidad su normalización . (05/04/2021 - 31/08/2021)</v>
      </c>
      <c r="E106" s="0" t="str">
        <f aca="false">IFERROR(__xludf.dummyfunction("""COMPUTED_VALUE"""),"Esta acción se completó en los seguimientos pasados")</f>
        <v>Esta acción se completó en los seguimientos pasados</v>
      </c>
      <c r="F106" s="0" t="str">
        <f aca="false">IFERROR(__xludf.dummyfunction("""COMPUTED_VALUE"""),"Completo")</f>
        <v>Completo</v>
      </c>
    </row>
    <row r="107" customFormat="false" ht="14.25" hidden="false" customHeight="false" outlineLevel="0" collapsed="false">
      <c r="A107" s="18" t="str">
        <f aca="false">IFERROR(MID(D107,1,FIND("|",D107)-1)&amp;"-"&amp;C107,"")</f>
        <v>AICI202006-13-1-3</v>
      </c>
      <c r="B107" s="19" t="n">
        <f aca="false">IFERROR(__xludf.dummyfunction("""COMPUTED_VALUE"""),44588)</f>
        <v>44588</v>
      </c>
      <c r="C107" s="0" t="n">
        <f aca="false">IFERROR(__xludf.dummyfunction("""COMPUTED_VALUE"""),3)</f>
        <v>3</v>
      </c>
      <c r="D107" s="0" t="str">
        <f aca="false">IFERROR(__xludf.dummyfunction("""COMPUTED_VALUE"""),"AICI202006-13-1| Incluír en el Instructivo el procedimiento de aplicación de pagos por funcionario. (01/03/2021 - 30/06/2021)")</f>
        <v>AICI202006-13-1| Incluír en el Instructivo el procedimiento de aplicación de pagos por funcionario. (01/03/2021 - 30/06/2021)</v>
      </c>
      <c r="E107" s="0" t="str">
        <f aca="false">IFERROR(__xludf.dummyfunction("""COMPUTED_VALUE"""),"Esta acción se completó en los seguimientos pasados")</f>
        <v>Esta acción se completó en los seguimientos pasados</v>
      </c>
      <c r="F107" s="0" t="str">
        <f aca="false">IFERROR(__xludf.dummyfunction("""COMPUTED_VALUE"""),"Completo")</f>
        <v>Completo</v>
      </c>
    </row>
    <row r="108" customFormat="false" ht="14.25" hidden="false" customHeight="false" outlineLevel="0" collapsed="false">
      <c r="A108" s="18" t="str">
        <f aca="false">IFERROR(MID(D108,1,FIND("|",D108)-1)&amp;"-"&amp;C108,"")</f>
        <v>AICI202006-12-1-3</v>
      </c>
      <c r="B108" s="19" t="n">
        <f aca="false">IFERROR(__xludf.dummyfunction("""COMPUTED_VALUE"""),44588)</f>
        <v>44588</v>
      </c>
      <c r="C108" s="0" t="n">
        <f aca="false">IFERROR(__xludf.dummyfunction("""COMPUTED_VALUE"""),3)</f>
        <v>3</v>
      </c>
      <c r="D108" s="0" t="str">
        <f aca="false">IFERROR(__xludf.dummyfunction("""COMPUTED_VALUE"""),"AICI202006-12-1| Actualizar el instructivo de Incapacidades AP-TH-I-24-02 donde se involucren las actividades relacionadas con las áreas financieras y solicitar al área de Calidad su normalización (05/04/2021 - 31/08/2021)")</f>
        <v>AICI202006-12-1| Actualizar el instructivo de Incapacidades AP-TH-I-24-02 donde se involucren las actividades relacionadas con las áreas financieras y solicitar al área de Calidad su normalización (05/04/2021 - 31/08/2021)</v>
      </c>
      <c r="E108" s="0" t="str">
        <f aca="false">IFERROR(__xludf.dummyfunction("""COMPUTED_VALUE"""),"Esta acción se completó en los seguimientos pasados")</f>
        <v>Esta acción se completó en los seguimientos pasados</v>
      </c>
      <c r="F108" s="0" t="str">
        <f aca="false">IFERROR(__xludf.dummyfunction("""COMPUTED_VALUE"""),"Completo")</f>
        <v>Completo</v>
      </c>
    </row>
    <row r="109" customFormat="false" ht="14.25" hidden="false" customHeight="false" outlineLevel="0" collapsed="false">
      <c r="A109" s="18" t="str">
        <f aca="false">IFERROR(MID(D109,1,FIND("|",D109)-1)&amp;"-"&amp;C109,"")</f>
        <v>AICI202006-13-1-3</v>
      </c>
      <c r="B109" s="19" t="n">
        <f aca="false">IFERROR(__xludf.dummyfunction("""COMPUTED_VALUE"""),44588)</f>
        <v>44588</v>
      </c>
      <c r="C109" s="0" t="n">
        <f aca="false">IFERROR(__xludf.dummyfunction("""COMPUTED_VALUE"""),3)</f>
        <v>3</v>
      </c>
      <c r="D109" s="0" t="str">
        <f aca="false">IFERROR(__xludf.dummyfunction("""COMPUTED_VALUE"""),"AICI202006-13-1| Incluír en el Instructivo el procedimiento de aplicación de pagos por funcionario. (01/03/2021 - 30/06/2021)")</f>
        <v>AICI202006-13-1| Incluír en el Instructivo el procedimiento de aplicación de pagos por funcionario. (01/03/2021 - 30/06/2021)</v>
      </c>
      <c r="E109" s="0" t="str">
        <f aca="false">IFERROR(__xludf.dummyfunction("""COMPUTED_VALUE"""),"Esta acción se completó en los seguimientos pasados")</f>
        <v>Esta acción se completó en los seguimientos pasados</v>
      </c>
      <c r="F109" s="0" t="str">
        <f aca="false">IFERROR(__xludf.dummyfunction("""COMPUTED_VALUE"""),"Completo")</f>
        <v>Completo</v>
      </c>
    </row>
    <row r="110" customFormat="false" ht="14.25" hidden="false" customHeight="false" outlineLevel="0" collapsed="false">
      <c r="A110" s="18" t="str">
        <f aca="false">IFERROR(MID(D110,1,FIND("|",D110)-1)&amp;"-"&amp;C110,"")</f>
        <v>AICI202006-13-2-3</v>
      </c>
      <c r="B110" s="19" t="n">
        <f aca="false">IFERROR(__xludf.dummyfunction("""COMPUTED_VALUE"""),44588)</f>
        <v>44588</v>
      </c>
      <c r="C110" s="0" t="n">
        <f aca="false">IFERROR(__xludf.dummyfunction("""COMPUTED_VALUE"""),3)</f>
        <v>3</v>
      </c>
      <c r="D110" s="0" t="str">
        <f aca="false">IFERROR(__xludf.dummyfunction("""COMPUTED_VALUE"""),"AICI202006-13-2| Incluír en la hoja de calculo diseñada para unificar el registro de incapacidades, la aplicación de los pagos realizados por las EAPB, derivados de las incapacidades de cada funcionario. (01/10/2021 - 31/12/2021)")</f>
        <v>AICI202006-13-2| Incluír en la hoja de calculo diseñada para unificar el registro de incapacidades, la aplicación de los pagos realizados por las EAPB, derivados de las incapacidades de cada funcionario. (01/10/2021 - 31/12/2021)</v>
      </c>
      <c r="E110" s="0" t="str">
        <f aca="false">IFERROR(__xludf.dummyfunction("""COMPUTED_VALUE"""),"Se informa que "" Para la vigencia 2021 se registran los pagos por incapacidad en el sistema Sinergy Cartera, el cual se le ha solicitado al proveedor mejoras para el buen registro de esta información,. Y se actualiza el cuadro de registro de incapacidade"&amp;"s. Este cuando no se puede remitir por contener información personal y privada del funcionario."" - Esta acción debe ser verificada directamente en la oficina de incapacidades, dado que los avances del seguimiento fueron enviados de manera extemporánea po"&amp;"r parte del área de incapacidades, y no es posible en este momento programar visita en el área,  la verificación de esta acción se realizará en el siguiente seguimiento.")</f>
        <v>Se informa que " Para la vigencia 2021 se registran los pagos por incapacidad en el sistema Sinergy Cartera, el cual se le ha solicitado al proveedor mejoras para el buen registro de esta información,. Y se actualiza el cuadro de registro de incapacidades. Este cuando no se puede remitir por contener información personal y privada del funcionario." - Esta acción debe ser verificada directamente en la oficina de incapacidades, dado que los avances del seguimiento fueron enviados de manera extemporánea por parte del área de incapacidades, y no es posible en este momento programar visita en el área,  la verificación de esta acción se realizará en el siguiente seguimiento.</v>
      </c>
      <c r="F110" s="0" t="str">
        <f aca="false">IFERROR(__xludf.dummyfunction("""COMPUTED_VALUE"""),"Atrasado")</f>
        <v>Atrasado</v>
      </c>
    </row>
    <row r="111" customFormat="false" ht="14.25" hidden="false" customHeight="false" outlineLevel="0" collapsed="false">
      <c r="A111" s="18" t="str">
        <f aca="false">IFERROR(MID(D111,1,FIND("|",D111)-1)&amp;"-"&amp;C111,"")</f>
        <v>AICI202006-13-3-3</v>
      </c>
      <c r="B111" s="19" t="n">
        <f aca="false">IFERROR(__xludf.dummyfunction("""COMPUTED_VALUE"""),44588)</f>
        <v>44588</v>
      </c>
      <c r="C111" s="0" t="n">
        <f aca="false">IFERROR(__xludf.dummyfunction("""COMPUTED_VALUE"""),3)</f>
        <v>3</v>
      </c>
      <c r="D111" s="0" t="str">
        <f aca="false">IFERROR(__xludf.dummyfunction("""COMPUTED_VALUE"""),"AICI202006-13-3| Implementar el modulo de cartera del sistema de información Sinergy (01/10/2021 - 31/12/2021)")</f>
        <v>AICI202006-13-3| Implementar el modulo de cartera del sistema de información Sinergy (01/10/2021 - 31/12/2021)</v>
      </c>
      <c r="E111" s="0" t="str">
        <f aca="false">IFERROR(__xludf.dummyfunction("""COMPUTED_VALUE"""),"Se informa que ""El proveedor continúa trabajando en el proceso de mejora del modulo de cartera"" por lo tanto el mismo no ha culminado para la respectiva implementación.")</f>
        <v>Se informa que "El proveedor continúa trabajando en el proceso de mejora del modulo de cartera" por lo tanto el mismo no ha culminado para la respectiva implementación.</v>
      </c>
      <c r="F111" s="0" t="str">
        <f aca="false">IFERROR(__xludf.dummyfunction("""COMPUTED_VALUE"""),"Atrasado")</f>
        <v>Atrasado</v>
      </c>
    </row>
    <row r="112" customFormat="false" ht="14.25" hidden="false" customHeight="false" outlineLevel="0" collapsed="false">
      <c r="A112" s="18" t="str">
        <f aca="false">IFERROR(MID(D112,1,FIND("|",D112)-1)&amp;"-"&amp;C112,"")</f>
        <v>AICI202006-14-1-3</v>
      </c>
      <c r="B112" s="19" t="n">
        <f aca="false">IFERROR(__xludf.dummyfunction("""COMPUTED_VALUE"""),44588)</f>
        <v>44588</v>
      </c>
      <c r="C112" s="0" t="n">
        <f aca="false">IFERROR(__xludf.dummyfunction("""COMPUTED_VALUE"""),3)</f>
        <v>3</v>
      </c>
      <c r="D112" s="0" t="str">
        <f aca="false">IFERROR(__xludf.dummyfunction("""COMPUTED_VALUE"""),"AICI202006-14-1| Proponer que las diferencias presentadas en los IBC por los tiempos en la liquidación y reconocimiento de la incapacidad, cuenten con un margen de conciliación con contabilidad... (05/04/2021 - 31/08/2021)")</f>
        <v>AICI202006-14-1| Proponer que las diferencias presentadas en los IBC por los tiempos en la liquidación y reconocimiento de la incapacidad, cuenten con un margen de conciliación con contabilidad... (05/04/2021 - 31/08/2021)</v>
      </c>
      <c r="E112" s="0" t="str">
        <f aca="false">IFERROR(__xludf.dummyfunction("""COMPUTED_VALUE"""),"Se informa que para los casos de déficit/excedentes en valores reconocidos por las EPS/Pagadores, este proceso corresponde al área financiera. Desde talento Humano se reportan los valores pagados por las EAPB se solicitará a cartera los rangos manejados. "&amp;"Por lo tanto no hay un soporte aún de cumplimiento de la acción.")</f>
        <v>Se informa que para los casos de déficit/excedentes en valores reconocidos por las EPS/Pagadores, este proceso corresponde al área financiera. Desde talento Humano se reportan los valores pagados por las EAPB se solicitará a cartera los rangos manejados. Por lo tanto no hay un soporte aún de cumplimiento de la acción.</v>
      </c>
      <c r="F112" s="0" t="str">
        <f aca="false">IFERROR(__xludf.dummyfunction("""COMPUTED_VALUE"""),"Atrasado")</f>
        <v>Atrasado</v>
      </c>
    </row>
    <row r="113" customFormat="false" ht="14.25" hidden="false" customHeight="false" outlineLevel="0" collapsed="false">
      <c r="A113" s="18" t="str">
        <f aca="false">IFERROR(MID(D113,1,FIND("|",D113)-1)&amp;"-"&amp;C113,"")</f>
        <v>AICI202006-15-1-3</v>
      </c>
      <c r="B113" s="19" t="n">
        <f aca="false">IFERROR(__xludf.dummyfunction("""COMPUTED_VALUE"""),44588)</f>
        <v>44588</v>
      </c>
      <c r="C113" s="0" t="n">
        <f aca="false">IFERROR(__xludf.dummyfunction("""COMPUTED_VALUE"""),3)</f>
        <v>3</v>
      </c>
      <c r="D113" s="0" t="str">
        <f aca="false">IFERROR(__xludf.dummyfunction("""COMPUTED_VALUE"""),"AICI202006-15-1| Publicar circular en la cual se divulgue a los funcionarios el proceso de incapacidades y sus requerimientos mínimos en caso de sobrepasar los 180 dias. (05/04/2021 - 31/08/2021)")</f>
        <v>AICI202006-15-1| Publicar circular en la cual se divulgue a los funcionarios el proceso de incapacidades y sus requerimientos mínimos en caso de sobrepasar los 180 dias. (05/04/2021 - 31/08/2021)</v>
      </c>
      <c r="E113" s="0" t="str">
        <f aca="false">IFERROR(__xludf.dummyfunction("""COMPUTED_VALUE"""),"En el avance enviado se refiere que la información  del proceso a seguir en casos de incapacidades que superen los 180 días se encuentra en el instructivo.  La acción formulada habla de la publicación de una circular que se divulgará a los funcionarios, p"&amp;"or esta razón se encuentra que el avance no es coherente con lo planteado.")</f>
        <v>En el avance enviado se refiere que la información  del proceso a seguir en casos de incapacidades que superen los 180 días se encuentra en el instructivo.  La acción formulada habla de la publicación de una circular que se divulgará a los funcionarios, por esta razón se encuentra que el avance no es coherente con lo planteado.</v>
      </c>
      <c r="F113" s="0" t="str">
        <f aca="false">IFERROR(__xludf.dummyfunction("""COMPUTED_VALUE"""),"Atrasado")</f>
        <v>Atrasado</v>
      </c>
    </row>
    <row r="114" customFormat="false" ht="14.25" hidden="false" customHeight="false" outlineLevel="0" collapsed="false">
      <c r="A114" s="18" t="str">
        <f aca="false">IFERROR(MID(D114,1,FIND("|",D114)-1)&amp;"-"&amp;C114,"")</f>
        <v>AICI202006-15-2-3</v>
      </c>
      <c r="B114" s="19" t="n">
        <f aca="false">IFERROR(__xludf.dummyfunction("""COMPUTED_VALUE"""),44588)</f>
        <v>44588</v>
      </c>
      <c r="C114" s="0" t="n">
        <f aca="false">IFERROR(__xludf.dummyfunction("""COMPUTED_VALUE"""),3)</f>
        <v>3</v>
      </c>
      <c r="D114" s="0" t="str">
        <f aca="false">IFERROR(__xludf.dummyfunction("""COMPUTED_VALUE"""),"AICI202006-15-2| Incluir dentro del instructivo de incapacidades el tema, previas consultas legales. (05/04/2021 - 31/08/2021)")</f>
        <v>AICI202006-15-2| Incluir dentro del instructivo de incapacidades el tema, previas consultas legales. (05/04/2021 - 31/08/2021)</v>
      </c>
      <c r="E114" s="0" t="str">
        <f aca="false">IFERROR(__xludf.dummyfunction("""COMPUTED_VALUE"""),"Se informa que se implementó un control en el sistema de información Sinergy donde el funcionario al cumplir los 180 días de incapacidad se detiene el pago del auxilio de la incapacidad. esta información no es coherente con lo planteado en la acción.")</f>
        <v>Se informa que se implementó un control en el sistema de información Sinergy donde el funcionario al cumplir los 180 días de incapacidad se detiene el pago del auxilio de la incapacidad. esta información no es coherente con lo planteado en la acción.</v>
      </c>
      <c r="F114" s="0" t="str">
        <f aca="false">IFERROR(__xludf.dummyfunction("""COMPUTED_VALUE"""),"Atrasado")</f>
        <v>Atrasado</v>
      </c>
    </row>
    <row r="115" customFormat="false" ht="14.25" hidden="false" customHeight="false" outlineLevel="0" collapsed="false">
      <c r="A115" s="18" t="str">
        <f aca="false">IFERROR(MID(D115,1,FIND("|",D115)-1)&amp;"-"&amp;C115,"")</f>
        <v>AICI202006-16-1-3</v>
      </c>
      <c r="B115" s="19" t="n">
        <f aca="false">IFERROR(__xludf.dummyfunction("""COMPUTED_VALUE"""),44588)</f>
        <v>44588</v>
      </c>
      <c r="C115" s="0" t="n">
        <f aca="false">IFERROR(__xludf.dummyfunction("""COMPUTED_VALUE"""),3)</f>
        <v>3</v>
      </c>
      <c r="D115" s="0" t="str">
        <f aca="false">IFERROR(__xludf.dummyfunction("""COMPUTED_VALUE"""),"AICI202006-16-1| Realizar circularización por parte del área de cartera, sobre el cobro en el mes de marzo anualmente previo concepto jurídico para este tema (01/03/2021 - 30/04/2021)")</f>
        <v>AICI202006-16-1| Realizar circularización por parte del área de cartera, sobre el cobro en el mes de marzo anualmente previo concepto jurídico para este tema (01/03/2021 - 30/04/2021)</v>
      </c>
      <c r="E115" s="0" t="str">
        <f aca="false">IFERROR(__xludf.dummyfunction("""COMPUTED_VALUE"""),"Esta acción se completó en los seguimientos pasados")</f>
        <v>Esta acción se completó en los seguimientos pasados</v>
      </c>
      <c r="F115" s="0" t="str">
        <f aca="false">IFERROR(__xludf.dummyfunction("""COMPUTED_VALUE"""),"Completo")</f>
        <v>Completo</v>
      </c>
    </row>
    <row r="116" customFormat="false" ht="14.25" hidden="false" customHeight="false" outlineLevel="0" collapsed="false">
      <c r="A116" s="18" t="str">
        <f aca="false">IFERROR(MID(D116,1,FIND("|",D116)-1)&amp;"-"&amp;C116,"")</f>
        <v>AICI202006-17-1-3</v>
      </c>
      <c r="B116" s="19" t="n">
        <f aca="false">IFERROR(__xludf.dummyfunction("""COMPUTED_VALUE"""),44588)</f>
        <v>44588</v>
      </c>
      <c r="C116" s="0" t="n">
        <f aca="false">IFERROR(__xludf.dummyfunction("""COMPUTED_VALUE"""),3)</f>
        <v>3</v>
      </c>
      <c r="D116" s="0" t="str">
        <f aca="false">IFERROR(__xludf.dummyfunction("""COMPUTED_VALUE"""),"AICI202006-17-1| Unificar los registros del proceso de incapacidades en un único archivo que permita el control de la fecha de radicación ante la EAPB... (01/03/2020 - 30/04/2020)")</f>
        <v>AICI202006-17-1| Unificar los registros del proceso de incapacidades en un único archivo que permita el control de la fecha de radicación ante la EAPB... (01/03/2020 - 30/04/2020)</v>
      </c>
      <c r="E116" s="0" t="str">
        <f aca="false">IFERROR(__xludf.dummyfunction("""COMPUTED_VALUE"""),"Esta acción se completó en los seguimientos pasados")</f>
        <v>Esta acción se completó en los seguimientos pasados</v>
      </c>
      <c r="F116" s="0" t="str">
        <f aca="false">IFERROR(__xludf.dummyfunction("""COMPUTED_VALUE"""),"Completo")</f>
        <v>Completo</v>
      </c>
    </row>
    <row r="117" customFormat="false" ht="14.25" hidden="false" customHeight="false" outlineLevel="0" collapsed="false">
      <c r="A117" s="18" t="str">
        <f aca="false">IFERROR(MID(D117,1,FIND("|",D117)-1)&amp;"-"&amp;C117,"")</f>
        <v>AICI202006-17-1-3</v>
      </c>
      <c r="B117" s="19" t="n">
        <f aca="false">IFERROR(__xludf.dummyfunction("""COMPUTED_VALUE"""),44588)</f>
        <v>44588</v>
      </c>
      <c r="C117" s="0" t="n">
        <f aca="false">IFERROR(__xludf.dummyfunction("""COMPUTED_VALUE"""),3)</f>
        <v>3</v>
      </c>
      <c r="D117" s="0" t="str">
        <f aca="false">IFERROR(__xludf.dummyfunction("""COMPUTED_VALUE"""),"AICI202006-17-1| Unificar los registros del proceso de incapacidades en un único archivo que permita el control de la fecha de radicación ante la EAPB... (01/03/2020 - 30/04/2020)")</f>
        <v>AICI202006-17-1| Unificar los registros del proceso de incapacidades en un único archivo que permita el control de la fecha de radicación ante la EAPB... (01/03/2020 - 30/04/2020)</v>
      </c>
      <c r="E117" s="0" t="str">
        <f aca="false">IFERROR(__xludf.dummyfunction("""COMPUTED_VALUE"""),"Se informa que Pendiente del tramite a seguir para comité de Saneamiento, por lo tanto no se cumplido la acción.")</f>
        <v>Se informa que Pendiente del tramite a seguir para comité de Saneamiento, por lo tanto no se cumplido la acción.</v>
      </c>
      <c r="F117" s="0" t="str">
        <f aca="false">IFERROR(__xludf.dummyfunction("""COMPUTED_VALUE"""),"Atrasado")</f>
        <v>Atrasado</v>
      </c>
    </row>
    <row r="118" customFormat="false" ht="14.25" hidden="false" customHeight="false" outlineLevel="0" collapsed="false">
      <c r="A118" s="18" t="str">
        <f aca="false">IFERROR(MID(D118,1,FIND("|",D118)-1)&amp;"-"&amp;C118,"")</f>
        <v>AICI202006-18-1-3</v>
      </c>
      <c r="B118" s="19" t="n">
        <f aca="false">IFERROR(__xludf.dummyfunction("""COMPUTED_VALUE"""),44588)</f>
        <v>44588</v>
      </c>
      <c r="C118" s="0" t="n">
        <f aca="false">IFERROR(__xludf.dummyfunction("""COMPUTED_VALUE"""),3)</f>
        <v>3</v>
      </c>
      <c r="D118" s="0" t="str">
        <f aca="false">IFERROR(__xludf.dummyfunction("""COMPUTED_VALUE"""),"AICI202006-18-1| Realizar las fichas de saneamiento fiscal que sean necesarias con el concepto juridico con relación a las vigencias que prescriben. (05/04/2021 - 30/11/2021)")</f>
        <v>AICI202006-18-1| Realizar las fichas de saneamiento fiscal que sean necesarias con el concepto juridico con relación a las vigencias que prescriben. (05/04/2021 - 30/11/2021)</v>
      </c>
      <c r="E118" s="0" t="str">
        <f aca="false">IFERROR(__xludf.dummyfunction("""COMPUTED_VALUE"""),"Se informa que Pendiente del tramite a seguir para comité de Saneamiento, por lo tanto no se cumplido la acción.")</f>
        <v>Se informa que Pendiente del tramite a seguir para comité de Saneamiento, por lo tanto no se cumplido la acción.</v>
      </c>
      <c r="F118" s="0" t="str">
        <f aca="false">IFERROR(__xludf.dummyfunction("""COMPUTED_VALUE"""),"Atrasado")</f>
        <v>Atrasado</v>
      </c>
    </row>
    <row r="119" customFormat="false" ht="14.25" hidden="false" customHeight="false" outlineLevel="0" collapsed="false">
      <c r="A119" s="18" t="str">
        <f aca="false">IFERROR(MID(D119,1,FIND("|",D119)-1)&amp;"-"&amp;C119,"")</f>
        <v>AICI202006-18-2-3</v>
      </c>
      <c r="B119" s="19" t="n">
        <f aca="false">IFERROR(__xludf.dummyfunction("""COMPUTED_VALUE"""),44588)</f>
        <v>44588</v>
      </c>
      <c r="C119" s="0" t="n">
        <f aca="false">IFERROR(__xludf.dummyfunction("""COMPUTED_VALUE"""),3)</f>
        <v>3</v>
      </c>
      <c r="D119" s="0" t="str">
        <f aca="false">IFERROR(__xludf.dummyfunction("""COMPUTED_VALUE"""),"AICI202006-18-2| Conciliar y depurar con contabilidad, valores reconocidos por las EPS correspondiente a la vigencia 2017 (05/04/2021 - 30/11/2021)")</f>
        <v>AICI202006-18-2| Conciliar y depurar con contabilidad, valores reconocidos por las EPS correspondiente a la vigencia 2017 (05/04/2021 - 30/11/2021)</v>
      </c>
      <c r="E119" s="0" t="str">
        <f aca="false">IFERROR(__xludf.dummyfunction("""COMPUTED_VALUE"""),"Se informa de solicitud de soportes a contabilidad por correo,  La información solicitada en el correo no corresponde a la conciliación y depuración de valores reconocidos por las EPS correspondiente a la vigencia 2017. (acción formulada) por lo cual se s"&amp;"olicita al área de incapacidades revisar nuevamente el hallazgo y la acción formulada, para realizar acciones coherentes con dicha información.")</f>
        <v>Se informa de solicitud de soportes a contabilidad por correo,  La información solicitada en el correo no corresponde a la conciliación y depuración de valores reconocidos por las EPS correspondiente a la vigencia 2017. (acción formulada) por lo cual se solicita al área de incapacidades revisar nuevamente el hallazgo y la acción formulada, para realizar acciones coherentes con dicha información.</v>
      </c>
      <c r="F119" s="0" t="str">
        <f aca="false">IFERROR(__xludf.dummyfunction("""COMPUTED_VALUE"""),"Atrasado")</f>
        <v>Atrasado</v>
      </c>
    </row>
    <row r="120" customFormat="false" ht="14.25" hidden="false" customHeight="false" outlineLevel="0" collapsed="false">
      <c r="A120" s="18" t="str">
        <f aca="false">IFERROR(MID(D120,1,FIND("|",D120)-1)&amp;"-"&amp;C120,"")</f>
        <v>AICI202006-18-3-3</v>
      </c>
      <c r="B120" s="19" t="n">
        <f aca="false">IFERROR(__xludf.dummyfunction("""COMPUTED_VALUE"""),44588)</f>
        <v>44588</v>
      </c>
      <c r="C120" s="0" t="n">
        <f aca="false">IFERROR(__xludf.dummyfunction("""COMPUTED_VALUE"""),3)</f>
        <v>3</v>
      </c>
      <c r="D120" s="0" t="str">
        <f aca="false">IFERROR(__xludf.dummyfunction("""COMPUTED_VALUE"""),"AICI202006-18-3| Realizar conciliaciones mensuales con las áreas financieras, con el fin de descargar y controlar los pagos realzados por las EPS y ARL... (05/04/2021 - 30/11/2021)")</f>
        <v>AICI202006-18-3| Realizar conciliaciones mensuales con las áreas financieras, con el fin de descargar y controlar los pagos realzados por las EPS y ARL... (05/04/2021 - 30/11/2021)</v>
      </c>
      <c r="E120" s="0" t="str">
        <f aca="false">IFERROR(__xludf.dummyfunction("""COMPUTED_VALUE"""),"Se informa que Pendiente del tramite a seguir para comité de Saneamiento, por lo tanto no se cumplido la acción")</f>
        <v>Se informa que Pendiente del tramite a seguir para comité de Saneamiento, por lo tanto no se cumplido la acción</v>
      </c>
      <c r="F120" s="0" t="str">
        <f aca="false">IFERROR(__xludf.dummyfunction("""COMPUTED_VALUE"""),"Atrasado")</f>
        <v>Atrasado</v>
      </c>
    </row>
    <row r="121" customFormat="false" ht="14.25" hidden="false" customHeight="false" outlineLevel="0" collapsed="false">
      <c r="A121" s="18" t="str">
        <f aca="false">IFERROR(MID(D121,1,FIND("|",D121)-1)&amp;"-"&amp;C121,"")</f>
        <v>AICI202006-19-1-3</v>
      </c>
      <c r="B121" s="19" t="n">
        <f aca="false">IFERROR(__xludf.dummyfunction("""COMPUTED_VALUE"""),44588)</f>
        <v>44588</v>
      </c>
      <c r="C121" s="0" t="n">
        <f aca="false">IFERROR(__xludf.dummyfunction("""COMPUTED_VALUE"""),3)</f>
        <v>3</v>
      </c>
      <c r="D121" s="0" t="str">
        <f aca="false">IFERROR(__xludf.dummyfunction("""COMPUTED_VALUE"""),"AICI202006-19-1| Actualizar el instructivo de Incapacidades AP-TH-I-24-02 e incluir en el mismo, el trámite y manejo de incapacidades de mas de 180 dias y solicitar al área de Calidad su normalización. (05/04/2021 - 30/08/2021)")</f>
        <v>AICI202006-19-1| Actualizar el instructivo de Incapacidades AP-TH-I-24-02 e incluir en el mismo, el trámite y manejo de incapacidades de mas de 180 dias y solicitar al área de Calidad su normalización. (05/04/2021 - 30/08/2021)</v>
      </c>
      <c r="E121" s="0" t="str">
        <f aca="false">IFERROR(__xludf.dummyfunction("""COMPUTED_VALUE"""),"Esta acción se completó en seguimientos pasados")</f>
        <v>Esta acción se completó en seguimientos pasados</v>
      </c>
      <c r="F121" s="0" t="str">
        <f aca="false">IFERROR(__xludf.dummyfunction("""COMPUTED_VALUE"""),"Completo")</f>
        <v>Completo</v>
      </c>
    </row>
    <row r="122" customFormat="false" ht="14.25" hidden="false" customHeight="false" outlineLevel="0" collapsed="false">
      <c r="A122" s="18" t="str">
        <f aca="false">IFERROR(MID(D122,1,FIND("|",D122)-1)&amp;"-"&amp;C122,"")</f>
        <v>AICI202006-19-2-3</v>
      </c>
      <c r="B122" s="19" t="n">
        <f aca="false">IFERROR(__xludf.dummyfunction("""COMPUTED_VALUE"""),44588)</f>
        <v>44588</v>
      </c>
      <c r="C122" s="0" t="n">
        <f aca="false">IFERROR(__xludf.dummyfunction("""COMPUTED_VALUE"""),3)</f>
        <v>3</v>
      </c>
      <c r="D122" s="0" t="str">
        <f aca="false">IFERROR(__xludf.dummyfunction("""COMPUTED_VALUE"""),"AICI202006-19-2| Establecer con los abogados del área un protocolo y con el apoyo de la oficina Jurídica de la entidad, ... (05/04/2021 - 30/08/2021)")</f>
        <v>AICI202006-19-2| Establecer con los abogados del área un protocolo y con el apoyo de la oficina Jurídica de la entidad, ... (05/04/2021 - 30/08/2021)</v>
      </c>
      <c r="E122" s="0" t="str">
        <f aca="false">IFERROR(__xludf.dummyfunction("""COMPUTED_VALUE"""),"Se informa que se incluirá en el instructivo los eventos improbables dado que en el sistema se parametrizó la suspensión de pagos de auxilios de incapacidades superiores a 180 dias. , no se presentan soportes, esto no es coherente con la acción formulada.")</f>
        <v>Se informa que se incluirá en el instructivo los eventos improbables dado que en el sistema se parametrizó la suspensión de pagos de auxilios de incapacidades superiores a 180 dias. , no se presentan soportes, esto no es coherente con la acción formulada.</v>
      </c>
      <c r="F122" s="0" t="str">
        <f aca="false">IFERROR(__xludf.dummyfunction("""COMPUTED_VALUE"""),"Atrasado")</f>
        <v>Atrasado</v>
      </c>
    </row>
    <row r="123" customFormat="false" ht="14.25" hidden="false" customHeight="false" outlineLevel="0" collapsed="false">
      <c r="A123" s="18" t="str">
        <f aca="false">IFERROR(MID(D123,1,FIND("|",D123)-1)&amp;"-"&amp;C123,"")</f>
        <v>AICI202006-19-3-3</v>
      </c>
      <c r="B123" s="19" t="n">
        <f aca="false">IFERROR(__xludf.dummyfunction("""COMPUTED_VALUE"""),44588)</f>
        <v>44588</v>
      </c>
      <c r="C123" s="0" t="n">
        <f aca="false">IFERROR(__xludf.dummyfunction("""COMPUTED_VALUE"""),3)</f>
        <v>3</v>
      </c>
      <c r="D123" s="0" t="str">
        <f aca="false">IFERROR(__xludf.dummyfunction("""COMPUTED_VALUE"""),"AICI202006-19-3| Adelantar los procesos legales correspondientes en cada uno de los casos vigentes referidos en el informe en el numeral 8,3... (05/04/2021 - 30/08/2021)")</f>
        <v>AICI202006-19-3| Adelantar los procesos legales correspondientes en cada uno de los casos vigentes referidos en el informe en el numeral 8,3... (05/04/2021 - 30/08/2021)</v>
      </c>
      <c r="E123" s="0" t="str">
        <f aca="false">IFERROR(__xludf.dummyfunction("""COMPUTED_VALUE"""),"Se anexa cobro coactivo a la Señora Ruth Marina Suancha, pendientes los soportes de los demás casos.")</f>
        <v>Se anexa cobro coactivo a la Señora Ruth Marina Suancha, pendientes los soportes de los demás casos.</v>
      </c>
      <c r="F123" s="0" t="str">
        <f aca="false">IFERROR(__xludf.dummyfunction("""COMPUTED_VALUE"""),"Atrasado")</f>
        <v>Atrasado</v>
      </c>
    </row>
    <row r="124" customFormat="false" ht="14.25" hidden="false" customHeight="false" outlineLevel="0" collapsed="false">
      <c r="A124" s="18" t="str">
        <f aca="false">IFERROR(MID(D124,1,FIND("|",D124)-1)&amp;"-"&amp;C124,"")</f>
        <v>AICI202006-20-1-3</v>
      </c>
      <c r="B124" s="19" t="n">
        <f aca="false">IFERROR(__xludf.dummyfunction("""COMPUTED_VALUE"""),44588)</f>
        <v>44588</v>
      </c>
      <c r="C124" s="0" t="n">
        <f aca="false">IFERROR(__xludf.dummyfunction("""COMPUTED_VALUE"""),3)</f>
        <v>3</v>
      </c>
      <c r="D124" s="0" t="str">
        <f aca="false">IFERROR(__xludf.dummyfunction("""COMPUTED_VALUE"""),"AICI202006-20-1| Requerir a Colpensiones y subsanar el hallazgo, (05/04/2021 - 30/08/2021)")</f>
        <v>AICI202006-20-1| Requerir a Colpensiones y subsanar el hallazgo, (05/04/2021 - 30/08/2021)</v>
      </c>
      <c r="E124" s="0" t="str">
        <f aca="false">IFERROR(__xludf.dummyfunction("""COMPUTED_VALUE"""),"No se presentaron avances ")</f>
        <v>No se presentaron avances </v>
      </c>
      <c r="F124" s="0" t="str">
        <f aca="false">IFERROR(__xludf.dummyfunction("""COMPUTED_VALUE"""),"Atrasado")</f>
        <v>Atrasado</v>
      </c>
    </row>
    <row r="125" customFormat="false" ht="14.25" hidden="false" customHeight="false" outlineLevel="0" collapsed="false">
      <c r="A125" s="18" t="str">
        <f aca="false">IFERROR(MID(D125,1,FIND("|",D125)-1)&amp;"-"&amp;C125,"")</f>
        <v>AICI202006-20-2-3</v>
      </c>
      <c r="B125" s="19" t="n">
        <f aca="false">IFERROR(__xludf.dummyfunction("""COMPUTED_VALUE"""),44588)</f>
        <v>44588</v>
      </c>
      <c r="C125" s="0" t="n">
        <f aca="false">IFERROR(__xludf.dummyfunction("""COMPUTED_VALUE"""),3)</f>
        <v>3</v>
      </c>
      <c r="D125" s="0" t="str">
        <f aca="false">IFERROR(__xludf.dummyfunction("""COMPUTED_VALUE"""),"AICI202006-20-2| Solicitar los abogados del área y con el apoyo de la oficina Jurídica de la Subre Norte, realizar un documento con el fin de establecer parámetros y proceder en los futuros casos que se presenten (05/04/2021 - 30/08/2021)")</f>
        <v>AICI202006-20-2| Solicitar los abogados del área y con el apoyo de la oficina Jurídica de la Subre Norte, realizar un documento con el fin de establecer parámetros y proceder en los futuros casos que se presenten (05/04/2021 - 30/08/2021)</v>
      </c>
      <c r="E125" s="0" t="str">
        <f aca="false">IFERROR(__xludf.dummyfunction("""COMPUTED_VALUE"""),"Lo informado como avance habla de los parámetros de sinergy loc cual no responde a la acción formulada.")</f>
        <v>Lo informado como avance habla de los parámetros de sinergy loc cual no responde a la acción formulada.</v>
      </c>
      <c r="F125" s="0" t="str">
        <f aca="false">IFERROR(__xludf.dummyfunction("""COMPUTED_VALUE"""),"Atrasado")</f>
        <v>Atrasado</v>
      </c>
    </row>
    <row r="126" customFormat="false" ht="14.25" hidden="false" customHeight="false" outlineLevel="0" collapsed="false">
      <c r="A126" s="18" t="str">
        <f aca="false">IFERROR(MID(D126,1,FIND("|",D126)-1)&amp;"-"&amp;C126,"")</f>
        <v>AICI202006-20-3-3</v>
      </c>
      <c r="B126" s="19" t="n">
        <f aca="false">IFERROR(__xludf.dummyfunction("""COMPUTED_VALUE"""),44588)</f>
        <v>44588</v>
      </c>
      <c r="C126" s="0" t="n">
        <f aca="false">IFERROR(__xludf.dummyfunction("""COMPUTED_VALUE"""),3)</f>
        <v>3</v>
      </c>
      <c r="D126" s="0" t="str">
        <f aca="false">IFERROR(__xludf.dummyfunction("""COMPUTED_VALUE"""),"AICI202006-20-3| Realizar las actuaciones jurídicas que correspondan en torno al caso de la Sra. Gloria inés Montaña. (05/04/2021 - 30/08/2021)")</f>
        <v>AICI202006-20-3| Realizar las actuaciones jurídicas que correspondan en torno al caso de la Sra. Gloria inés Montaña. (05/04/2021 - 30/08/2021)</v>
      </c>
      <c r="E126" s="0" t="str">
        <f aca="false">IFERROR(__xludf.dummyfunction("""COMPUTED_VALUE"""),"Se presenta copia de correo al abogado de la señora Montaña. Al verificar el correo se evidencia que fue enviado por la profesional universitaria  de talento Humano Marcela Iglesias al representante legal de la sra Montaño, no presenta soportes de interve"&amp;"nción del área jurídica de la Subred  por lo cual no se puede hablar de una actuación jurídica")</f>
        <v>Se presenta copia de correo al abogado de la señora Montaña. Al verificar el correo se evidencia que fue enviado por la profesional universitaria  de talento Humano Marcela Iglesias al representante legal de la sra Montaño, no presenta soportes de intervención del área jurídica de la Subred  por lo cual no se puede hablar de una actuación jurídica</v>
      </c>
      <c r="F126" s="0" t="str">
        <f aca="false">IFERROR(__xludf.dummyfunction("""COMPUTED_VALUE"""),"Atrasado")</f>
        <v>Atrasado</v>
      </c>
    </row>
    <row r="127" customFormat="false" ht="14.25" hidden="false" customHeight="false" outlineLevel="0" collapsed="false">
      <c r="A127" s="18" t="str">
        <f aca="false">IFERROR(MID(D127,1,FIND("|",D127)-1)&amp;"-"&amp;C127,"")</f>
        <v>AICI202006-24-1-3</v>
      </c>
      <c r="B127" s="19" t="n">
        <f aca="false">IFERROR(__xludf.dummyfunction("""COMPUTED_VALUE"""),44588)</f>
        <v>44588</v>
      </c>
      <c r="C127" s="0" t="n">
        <f aca="false">IFERROR(__xludf.dummyfunction("""COMPUTED_VALUE"""),3)</f>
        <v>3</v>
      </c>
      <c r="D127" s="0" t="str">
        <f aca="false">IFERROR(__xludf.dummyfunction("""COMPUTED_VALUE"""),"AICI202006-24-1| Solicitar la normalización de la hoja de calculo diseñada para unificar el registro de incapacidades con su respectivo instructivo de diligenciamiento y controles al área de Calidad. (01/10/2021 - 31/12/2021)")</f>
        <v>AICI202006-24-1| Solicitar la normalización de la hoja de calculo diseñada para unificar el registro de incapacidades con su respectivo instructivo de diligenciamiento y controles al área de Calidad. (01/10/2021 - 31/12/2021)</v>
      </c>
      <c r="E127" s="0" t="str">
        <f aca="false">IFERROR(__xludf.dummyfunction("""COMPUTED_VALUE"""),"Se presenta soporte de correo electrónico solicitando la normalización el día 18/01/2022 posterior a la fecha de corte del seguimiento")</f>
        <v>Se presenta soporte de correo electrónico solicitando la normalización el día 18/01/2022 posterior a la fecha de corte del seguimiento</v>
      </c>
      <c r="F127" s="0" t="str">
        <f aca="false">IFERROR(__xludf.dummyfunction("""COMPUTED_VALUE"""),"Atrasado")</f>
        <v>Atrasado</v>
      </c>
    </row>
    <row r="128" customFormat="false" ht="14.25" hidden="false" customHeight="false" outlineLevel="0" collapsed="false">
      <c r="A128" s="18" t="str">
        <f aca="false">IFERROR(MID(D128,1,FIND("|",D128)-1)&amp;"-"&amp;C128,"")</f>
        <v>AICI202006-27-1-3</v>
      </c>
      <c r="B128" s="19" t="n">
        <f aca="false">IFERROR(__xludf.dummyfunction("""COMPUTED_VALUE"""),44588)</f>
        <v>44588</v>
      </c>
      <c r="C128" s="0" t="n">
        <f aca="false">IFERROR(__xludf.dummyfunction("""COMPUTED_VALUE"""),3)</f>
        <v>3</v>
      </c>
      <c r="D128" s="0" t="str">
        <f aca="false">IFERROR(__xludf.dummyfunction("""COMPUTED_VALUE"""),"AICI202006-27-1| Asignar a la profesional Marcela Iglesias para ejercer las labores de apoyo y controles, igualmente asignar a Adriana Cristancho líder de Nómina el monitoreo y seguimiento al proceso de Incapacidades (22/02/2021 - 15/03/2021)")</f>
        <v>AICI202006-27-1| Asignar a la profesional Marcela Iglesias para ejercer las labores de apoyo y controles, igualmente asignar a Adriana Cristancho líder de Nómina el monitoreo y seguimiento al proceso de Incapacidades (22/02/2021 - 15/03/2021)</v>
      </c>
      <c r="E128" s="0" t="str">
        <f aca="false">IFERROR(__xludf.dummyfunction("""COMPUTED_VALUE"""),"Se  informa en el avance que ""se presentan actas de reunión del seguimiento del proceso de nómina donde se menciona incapacidades y con el área financiera donde la funcionaria Marcela Iglesias se encuentra apoyando el proceso de incapacidades"". Al revis"&amp;"ar el soporte se observa un acta de ""Reunión articulación Dirección de Talento Humano – Dirección Financiera"" del 3/11/2021, esta acta se encuentra en word, no tiene ningun tipo de firmas de asistentes y no describe la actividades de la profesional Marc"&amp;"ela Iglesias en la gestión de las incapacidades.  por lo cual no da cumplimiento a la acción.
En reunión de revisión de inquietudes del plan de mejora de incapacidades sostenida en el mes de diciembre de 2021 con la Dra. Cindy Ahumada Jefe de Talento huma"&amp;"no, Marcela inglesias, jefe de control interno y la auditora OCI, se acordó el envío del contrato de Adriana Cristancho jefe de nómina con las actividades contratadas y soportes de comunicaciones enviadas por la Dra Cindy a la profesional Marcela Iglesias"&amp;" para soportar las labores de de monitoreo  y  de apoyo y control respectivamente, estos soportes no se enviaron para este seguimiento. 
")</f>
        <v>Se  informa en el avance que "se presentan actas de reunión del seguimiento del proceso de nómina donde se menciona incapacidades y con el área financiera donde la funcionaria Marcela Iglesias se encuentra apoyando el proceso de incapacidades". Al revisar el soporte se observa un acta de "Reunión articulación Dirección de Talento Humano – Dirección Financiera" del 3/11/2021, esta acta se encuentra en word, no tiene ningun tipo de firmas de asistentes y no describe la actividades de la profesional Marcela Iglesias en la gestión de las incapacidades.  por lo cual no da cumplimiento a la acción.
En reunión de revisión de inquietudes del plan de mejora de incapacidades sostenida en el mes de diciembre de 2021 con la Dra. Cindy Ahumada Jefe de Talento humano, Marcela inglesias, jefe de control interno y la auditora OCI, se acordó el envío del contrato de Adriana Cristancho jefe de nómina con las actividades contratadas y soportes de comunicaciones enviadas por la Dra Cindy a la profesional Marcela Iglesias para soportar las labores de de monitoreo  y  de apoyo y control respectivamente, estos soportes no se enviaron para este seguimiento. 
</v>
      </c>
      <c r="F128" s="0" t="str">
        <f aca="false">IFERROR(__xludf.dummyfunction("""COMPUTED_VALUE"""),"Atrasado")</f>
        <v>Atrasado</v>
      </c>
    </row>
    <row r="129" customFormat="false" ht="14.25" hidden="false" customHeight="false" outlineLevel="0" collapsed="false">
      <c r="A129" s="18" t="str">
        <f aca="false">IFERROR(MID(D129,1,FIND("|",D129)-1)&amp;"-"&amp;C129,"")</f>
        <v>AICI202006-3-1-4</v>
      </c>
      <c r="B129" s="19" t="n">
        <f aca="false">IFERROR(__xludf.dummyfunction("""COMPUTED_VALUE"""),44657)</f>
        <v>44657</v>
      </c>
      <c r="C129" s="0" t="n">
        <f aca="false">IFERROR(__xludf.dummyfunction("""COMPUTED_VALUE"""),4)</f>
        <v>4</v>
      </c>
      <c r="D129" s="0" t="str">
        <f aca="false">IFERROR(__xludf.dummyfunction("""COMPUTED_VALUE"""),"AICI202006-3-1| Asignar a la profesional Marcela Iglesias para ejercer las labores de apoyo y control y a Adriana Cristancho para el monitoreo y seguimiento al proceso de Incapacidades. (22/02/2020 - 15/03/2021)")</f>
        <v>AICI202006-3-1| Asignar a la profesional Marcela Iglesias para ejercer las labores de apoyo y control y a Adriana Cristancho para el monitoreo y seguimiento al proceso de Incapacidades. (22/02/2020 - 15/03/2021)</v>
      </c>
      <c r="E129" s="0" t="str">
        <f aca="false">IFERROR(__xludf.dummyfunction("""COMPUTED_VALUE"""),"A partir del mes de mayo de 2021 la Dra. Cindy Ariza designó a la profesional Marcela Igesias Gallón para el apoyo y a la Dra. Adriana Cristancho para el monitoreo y seguimiento del proceso de incapacidades ")</f>
        <v>A partir del mes de mayo de 2021 la Dra. Cindy Ariza designó a la profesional Marcela Igesias Gallón para el apoyo y a la Dra. Adriana Cristancho para el monitoreo y seguimiento del proceso de incapacidades </v>
      </c>
      <c r="F129" s="0" t="str">
        <f aca="false">IFERROR(__xludf.dummyfunction("""COMPUTED_VALUE"""),"Completo")</f>
        <v>Completo</v>
      </c>
      <c r="G129" s="0" t="str">
        <f aca="false">IFERROR(__xludf.dummyfunction("""COMPUTED_VALUE"""),"Sí")</f>
        <v>Sí</v>
      </c>
    </row>
    <row r="130" customFormat="false" ht="14.25" hidden="false" customHeight="false" outlineLevel="0" collapsed="false">
      <c r="A130" s="18" t="str">
        <f aca="false">IFERROR(MID(D130,1,FIND("|",D130)-1)&amp;"-"&amp;C130,"")</f>
        <v>AICI202006-8-1-4</v>
      </c>
      <c r="B130" s="19" t="n">
        <f aca="false">IFERROR(__xludf.dummyfunction("""COMPUTED_VALUE"""),44657)</f>
        <v>44657</v>
      </c>
      <c r="C130" s="0" t="n">
        <f aca="false">IFERROR(__xludf.dummyfunction("""COMPUTED_VALUE"""),4)</f>
        <v>4</v>
      </c>
      <c r="D130" s="0" t="str">
        <f aca="false">IFERROR(__xludf.dummyfunction("""COMPUTED_VALUE"""),"AICI202006-8-1| Asignar a Adriana Cristancho líder de Nómina para el monitoreo y seguimiento y a la profesional Marcela Iglesias para las labores de apoyo, gestión y control de al proceso incapacidades. (22/02/2021 - 15/03/2021)")</f>
        <v>AICI202006-8-1| Asignar a Adriana Cristancho líder de Nómina para el monitoreo y seguimiento y a la profesional Marcela Iglesias para las labores de apoyo, gestión y control de al proceso incapacidades. (22/02/2021 - 15/03/2021)</v>
      </c>
      <c r="E130" s="0" t="str">
        <f aca="false">IFERROR(__xludf.dummyfunction("""COMPUTED_VALUE"""),"A partir del mes de mayo de 2021 la Dra. Cindy Ariza designó a la profesional Marcela Igesias Gallón para el apoyo y a la Dra. Adriana Cristancho para el monitoreo y seguimiento del proceso de incapacidades ")</f>
        <v>A partir del mes de mayo de 2021 la Dra. Cindy Ariza designó a la profesional Marcela Igesias Gallón para el apoyo y a la Dra. Adriana Cristancho para el monitoreo y seguimiento del proceso de incapacidades </v>
      </c>
      <c r="F130" s="0" t="str">
        <f aca="false">IFERROR(__xludf.dummyfunction("""COMPUTED_VALUE"""),"Completo")</f>
        <v>Completo</v>
      </c>
      <c r="G130" s="0" t="str">
        <f aca="false">IFERROR(__xludf.dummyfunction("""COMPUTED_VALUE"""),"Sí")</f>
        <v>Sí</v>
      </c>
    </row>
    <row r="131" customFormat="false" ht="14.25" hidden="false" customHeight="false" outlineLevel="0" collapsed="false">
      <c r="A131" s="18" t="str">
        <f aca="false">IFERROR(MID(D131,1,FIND("|",D131)-1)&amp;"-"&amp;C131,"")</f>
        <v>AICI202006-27-1-4</v>
      </c>
      <c r="B131" s="19" t="n">
        <f aca="false">IFERROR(__xludf.dummyfunction("""COMPUTED_VALUE"""),44657)</f>
        <v>44657</v>
      </c>
      <c r="C131" s="0" t="n">
        <f aca="false">IFERROR(__xludf.dummyfunction("""COMPUTED_VALUE"""),4)</f>
        <v>4</v>
      </c>
      <c r="D131" s="0" t="str">
        <f aca="false">IFERROR(__xludf.dummyfunction("""COMPUTED_VALUE"""),"AICI202006-27-1| Asignar a la profesional Marcela Iglesias para ejercer las labores de apoyo y controles, igualmente asignar a Adriana Cristancho líder de Nómina el monitoreo y seguimiento al proceso de Incapacidades (22/02/2021 - 15/03/2021)")</f>
        <v>AICI202006-27-1| Asignar a la profesional Marcela Iglesias para ejercer las labores de apoyo y controles, igualmente asignar a Adriana Cristancho líder de Nómina el monitoreo y seguimiento al proceso de Incapacidades (22/02/2021 - 15/03/2021)</v>
      </c>
      <c r="E131" s="0" t="str">
        <f aca="false">IFERROR(__xludf.dummyfunction("""COMPUTED_VALUE"""),"A partir del mes de mayo de 2021 la Dra. Cindy Ariza designó a la profesional Marcela Igesias Gallón para el apoyo y a la Dra. Adriana Cristancho para el monitoreo y seguimiento del proceso de incapacidades ")</f>
        <v>A partir del mes de mayo de 2021 la Dra. Cindy Ariza designó a la profesional Marcela Igesias Gallón para el apoyo y a la Dra. Adriana Cristancho para el monitoreo y seguimiento del proceso de incapacidades </v>
      </c>
      <c r="F131" s="0" t="str">
        <f aca="false">IFERROR(__xludf.dummyfunction("""COMPUTED_VALUE"""),"Completo")</f>
        <v>Completo</v>
      </c>
      <c r="G131" s="0" t="str">
        <f aca="false">IFERROR(__xludf.dummyfunction("""COMPUTED_VALUE"""),"Sí")</f>
        <v>Sí</v>
      </c>
    </row>
    <row r="132" customFormat="false" ht="14.25" hidden="false" customHeight="false" outlineLevel="0" collapsed="false">
      <c r="A132" s="18" t="str">
        <f aca="false">IFERROR(MID(D132,1,FIND("|",D132)-1)&amp;"-"&amp;C132,"")</f>
        <v>AICI202006-24-1-4</v>
      </c>
      <c r="B132" s="19" t="n">
        <f aca="false">IFERROR(__xludf.dummyfunction("""COMPUTED_VALUE"""),44657)</f>
        <v>44657</v>
      </c>
      <c r="C132" s="0" t="n">
        <f aca="false">IFERROR(__xludf.dummyfunction("""COMPUTED_VALUE"""),4)</f>
        <v>4</v>
      </c>
      <c r="D132" s="0" t="str">
        <f aca="false">IFERROR(__xludf.dummyfunction("""COMPUTED_VALUE"""),"AICI202006-24-1| Solicitar la normalización de la hoja de calculo diseñada para unificar el registro de incapacidades con su respectivo instructivo de diligenciamiento y controles al área de Calidad. (01/10/2021 - 31/12/2021)")</f>
        <v>AICI202006-24-1| Solicitar la normalización de la hoja de calculo diseñada para unificar el registro de incapacidades con su respectivo instructivo de diligenciamiento y controles al área de Calidad. (01/10/2021 - 31/12/2021)</v>
      </c>
      <c r="E132" s="0" t="str">
        <f aca="false">IFERROR(__xludf.dummyfunction("""COMPUTED_VALUE"""),"Se formalizó la hoja de calculo utilizada para el registro de incapacidades con su respectivo instructivo AP-TH-I-24-03 y AP-TH-F-116-01se encuentran en control documental")</f>
        <v>Se formalizó la hoja de calculo utilizada para el registro de incapacidades con su respectivo instructivo AP-TH-I-24-03 y AP-TH-F-116-01se encuentran en control documental</v>
      </c>
      <c r="F132" s="0" t="str">
        <f aca="false">IFERROR(__xludf.dummyfunction("""COMPUTED_VALUE"""),"Completo")</f>
        <v>Completo</v>
      </c>
      <c r="G132" s="0" t="str">
        <f aca="false">IFERROR(__xludf.dummyfunction("""COMPUTED_VALUE"""),"Sí")</f>
        <v>Sí</v>
      </c>
    </row>
    <row r="133" customFormat="false" ht="14.25" hidden="false" customHeight="false" outlineLevel="0" collapsed="false">
      <c r="A133" s="18" t="str">
        <f aca="false">IFERROR(MID(D133,1,FIND("|",D133)-1)&amp;"-"&amp;C133,"")</f>
        <v>AICI202006-5-1-4</v>
      </c>
      <c r="B133" s="19" t="n">
        <f aca="false">IFERROR(__xludf.dummyfunction("""COMPUTED_VALUE"""),44657)</f>
        <v>44657</v>
      </c>
      <c r="C133" s="0" t="n">
        <f aca="false">IFERROR(__xludf.dummyfunction("""COMPUTED_VALUE"""),4)</f>
        <v>4</v>
      </c>
      <c r="D133" s="0" t="str">
        <f aca="false">IFERROR(__xludf.dummyfunction("""COMPUTED_VALUE"""),"AICI202006-5-1| Realizar análisis cuidadoso de los riesgos que pueden presentarse en la ejecución del procedimiento de incapacidades... (05/04/2021 - 30/11/2021)")</f>
        <v>AICI202006-5-1| Realizar análisis cuidadoso de los riesgos que pueden presentarse en la ejecución del procedimiento de incapacidades... (05/04/2021 - 30/11/2021)</v>
      </c>
      <c r="E133" s="0" t="str">
        <f aca="false">IFERROR(__xludf.dummyfunction("""COMPUTED_VALUE"""),"La profesional encargada de incapacidades realizo la consulta a Juan Carlos Hurtado de Desarrollo institucional para que la asesorara sobre los riesgos y el contesto que en esta vigencia no se van a actualizar los riesgos. ")</f>
        <v>La profesional encargada de incapacidades realizo la consulta a Juan Carlos Hurtado de Desarrollo institucional para que la asesorara sobre los riesgos y el contesto que en esta vigencia no se van a actualizar los riesgos. </v>
      </c>
      <c r="F133" s="0" t="str">
        <f aca="false">IFERROR(__xludf.dummyfunction("""COMPUTED_VALUE"""),"Atrasado")</f>
        <v>Atrasado</v>
      </c>
    </row>
    <row r="134" customFormat="false" ht="14.25" hidden="false" customHeight="false" outlineLevel="0" collapsed="false">
      <c r="A134" s="18" t="str">
        <f aca="false">IFERROR(MID(D134,1,FIND("|",D134)-1)&amp;"-"&amp;C134,"")</f>
        <v>AICI202006-5-3-4</v>
      </c>
      <c r="B134" s="19" t="n">
        <f aca="false">IFERROR(__xludf.dummyfunction("""COMPUTED_VALUE"""),44657)</f>
        <v>44657</v>
      </c>
      <c r="C134" s="0" t="n">
        <f aca="false">IFERROR(__xludf.dummyfunction("""COMPUTED_VALUE"""),4)</f>
        <v>4</v>
      </c>
      <c r="D134" s="0" t="str">
        <f aca="false">IFERROR(__xludf.dummyfunction("""COMPUTED_VALUE"""),"AICI202006-5-3| Realizar reuiniones con los abogados del área de Talento Humano para la idenficación de los riesgos jurídicos. (05/04/2021 - 30/11/2021)")</f>
        <v>AICI202006-5-3| Realizar reuiniones con los abogados del área de Talento Humano para la idenficación de los riesgos jurídicos. (05/04/2021 - 30/11/2021)</v>
      </c>
      <c r="E134" s="0" t="str">
        <f aca="false">IFERROR(__xludf.dummyfunction("""COMPUTED_VALUE"""),"Con respecto a la reunión con los asesores jurídicos es que la Dirección de Talento Humano tiene un abogado laboralista que se encarga de todos los procesos que ejecuta el área, el es quien elabora los actos administrativos para incluir en la nómina y el "&amp;"direccionamiento que tienen en el proceso es que todo lo adicional a la liquidación de la nomina debe venir ya sea por acto administrativo o con una autorización con concepto por correo electrónico donde se diga si es viable o no proceder al pago. ")</f>
        <v>Con respecto a la reunión con los asesores jurídicos es que la Dirección de Talento Humano tiene un abogado laboralista que se encarga de todos los procesos que ejecuta el área, el es quien elabora los actos administrativos para incluir en la nómina y el direccionamiento que tienen en el proceso es que todo lo adicional a la liquidación de la nomina debe venir ya sea por acto administrativo o con una autorización con concepto por correo electrónico donde se diga si es viable o no proceder al pago. </v>
      </c>
      <c r="F134" s="0" t="str">
        <f aca="false">IFERROR(__xludf.dummyfunction("""COMPUTED_VALUE"""),"Atrasado")</f>
        <v>Atrasado</v>
      </c>
    </row>
    <row r="135" customFormat="false" ht="14.25" hidden="false" customHeight="false" outlineLevel="0" collapsed="false">
      <c r="A135" s="18" t="str">
        <f aca="false">IFERROR(MID(D135,1,FIND("|",D135)-1)&amp;"-"&amp;C135,"")</f>
        <v>AICI202006-7-1-4</v>
      </c>
      <c r="B135" s="19" t="n">
        <f aca="false">IFERROR(__xludf.dummyfunction("""COMPUTED_VALUE"""),44657)</f>
        <v>44657</v>
      </c>
      <c r="C135" s="0" t="n">
        <f aca="false">IFERROR(__xludf.dummyfunction("""COMPUTED_VALUE"""),4)</f>
        <v>4</v>
      </c>
      <c r="D135" s="0" t="str">
        <f aca="false">IFERROR(__xludf.dummyfunction("""COMPUTED_VALUE"""),"AICI202006-7-1| Actualizar el instructivo de Incapacidades AP-TH-I-24-02 como soporte del desarrollo de las actividades de Incapacidades y su regulación y solicitar al área de Calidad su normalización, (05/04/2021 - 31/08/2021)")</f>
        <v>AICI202006-7-1| Actualizar el instructivo de Incapacidades AP-TH-I-24-02 como soporte del desarrollo de las actividades de Incapacidades y su regulación y solicitar al área de Calidad su normalización, (05/04/2021 - 31/08/2021)</v>
      </c>
      <c r="E135" s="0" t="str">
        <f aca="false">IFERROR(__xludf.dummyfunction("""COMPUTED_VALUE"""),"Se realizó la actualización y se formalizó el instructivo de incapacidades y esta publicado en la intranet en control documental  como AP-TH-I-24-03")</f>
        <v>Se realizó la actualización y se formalizó el instructivo de incapacidades y esta publicado en la intranet en control documental  como AP-TH-I-24-03</v>
      </c>
      <c r="F135" s="0" t="str">
        <f aca="false">IFERROR(__xludf.dummyfunction("""COMPUTED_VALUE"""),"Completo")</f>
        <v>Completo</v>
      </c>
      <c r="G135" s="0" t="str">
        <f aca="false">IFERROR(__xludf.dummyfunction("""COMPUTED_VALUE"""),"Sí")</f>
        <v>Sí</v>
      </c>
    </row>
    <row r="136" customFormat="false" ht="14.25" hidden="false" customHeight="false" outlineLevel="0" collapsed="false">
      <c r="A136" s="18" t="str">
        <f aca="false">IFERROR(MID(D136,1,FIND("|",D136)-1)&amp;"-"&amp;C136,"")</f>
        <v>AICI202006-9-2-4</v>
      </c>
      <c r="B136" s="19" t="n">
        <f aca="false">IFERROR(__xludf.dummyfunction("""COMPUTED_VALUE"""),44657)</f>
        <v>44657</v>
      </c>
      <c r="C136" s="0" t="n">
        <f aca="false">IFERROR(__xludf.dummyfunction("""COMPUTED_VALUE"""),4)</f>
        <v>4</v>
      </c>
      <c r="D136" s="0" t="str">
        <f aca="false">IFERROR(__xludf.dummyfunction("""COMPUTED_VALUE"""),"AICI202006-9-2| Asignar un técnico para la recepción y validación de las incapacides remitidas a talento humano por los canales dispuestos para tal fin. (01/04/2021 - 15/04/2021)")</f>
        <v>AICI202006-9-2| Asignar un técnico para la recepción y validación de las incapacides remitidas a talento humano por los canales dispuestos para tal fin. (01/04/2021 - 15/04/2021)</v>
      </c>
      <c r="E136" s="0" t="str">
        <f aca="false">IFERROR(__xludf.dummyfunction("""COMPUTED_VALUE"""),"En la actualidad no se ha asignado al técnico para la recepción y la validación de la incapacidades remitidas a talento humano. ")</f>
        <v>En la actualidad no se ha asignado al técnico para la recepción y la validación de la incapacidades remitidas a talento humano. </v>
      </c>
      <c r="F136" s="0" t="str">
        <f aca="false">IFERROR(__xludf.dummyfunction("""COMPUTED_VALUE"""),"Atrasado")</f>
        <v>Atrasado</v>
      </c>
    </row>
    <row r="137" customFormat="false" ht="14.25" hidden="false" customHeight="false" outlineLevel="0" collapsed="false">
      <c r="A137" s="18" t="str">
        <f aca="false">IFERROR(MID(D137,1,FIND("|",D137)-1)&amp;"-"&amp;C137,"")</f>
        <v>AICI202006-18-1-4</v>
      </c>
      <c r="B137" s="19" t="n">
        <f aca="false">IFERROR(__xludf.dummyfunction("""COMPUTED_VALUE"""),44657)</f>
        <v>44657</v>
      </c>
      <c r="C137" s="0" t="n">
        <f aca="false">IFERROR(__xludf.dummyfunction("""COMPUTED_VALUE"""),4)</f>
        <v>4</v>
      </c>
      <c r="D137" s="0" t="str">
        <f aca="false">IFERROR(__xludf.dummyfunction("""COMPUTED_VALUE"""),"AICI202006-18-1| Realizar las fichas de saneamiento fiscal que sean necesarias con el concepto juridico con relación a las vigencias que prescriben. (05/04/2021 - 30/11/2021)")</f>
        <v>AICI202006-18-1| Realizar las fichas de saneamiento fiscal que sean necesarias con el concepto juridico con relación a las vigencias que prescriben. (05/04/2021 - 30/11/2021)</v>
      </c>
      <c r="E137" s="0" t="str">
        <f aca="false">IFERROR(__xludf.dummyfunction("""COMPUTED_VALUE"""),"Se realizaron las fichas de saneamiento y se solicito concepto a Jurídica para llevarlas al comité de saneamiento pero la respuesta de Jurídica fue general y para realizar el saneamiento debe ser por persona. ")</f>
        <v>Se realizaron las fichas de saneamiento y se solicito concepto a Jurídica para llevarlas al comité de saneamiento pero la respuesta de Jurídica fue general y para realizar el saneamiento debe ser por persona. </v>
      </c>
      <c r="F137" s="0" t="str">
        <f aca="false">IFERROR(__xludf.dummyfunction("""COMPUTED_VALUE"""),"Atrasado")</f>
        <v>Atrasado</v>
      </c>
    </row>
    <row r="138" customFormat="false" ht="14.25" hidden="false" customHeight="false" outlineLevel="0" collapsed="false">
      <c r="A138" s="18" t="str">
        <f aca="false">IFERROR(MID(D138,1,FIND("|",D138)-1)&amp;"-"&amp;C138,"")</f>
        <v>AICI202006-13-2-4</v>
      </c>
      <c r="B138" s="19" t="n">
        <f aca="false">IFERROR(__xludf.dummyfunction("""COMPUTED_VALUE"""),44657)</f>
        <v>44657</v>
      </c>
      <c r="C138" s="0" t="n">
        <f aca="false">IFERROR(__xludf.dummyfunction("""COMPUTED_VALUE"""),4)</f>
        <v>4</v>
      </c>
      <c r="D138" s="0" t="str">
        <f aca="false">IFERROR(__xludf.dummyfunction("""COMPUTED_VALUE"""),"AICI202006-13-2| Incluír en la hoja de calculo diseñada para unificar el registro de incapacidades, la aplicación de los pagos realizados por las EAPB, derivados de las incapacidades de cada funcionario. (01/10/2021 - 31/12/2021)")</f>
        <v>AICI202006-13-2| Incluír en la hoja de calculo diseñada para unificar el registro de incapacidades, la aplicación de los pagos realizados por las EAPB, derivados de las incapacidades de cada funcionario. (01/10/2021 - 31/12/2021)</v>
      </c>
      <c r="E138" s="0" t="str">
        <f aca="false">IFERROR(__xludf.dummyfunction("""COMPUTED_VALUE"""),"Se van aplicar los pagos en el sistema Sinergy a partir de la vigencia 2021.")</f>
        <v>Se van aplicar los pagos en el sistema Sinergy a partir de la vigencia 2021.</v>
      </c>
      <c r="F138" s="0" t="str">
        <f aca="false">IFERROR(__xludf.dummyfunction("""COMPUTED_VALUE"""),"Atrasado")</f>
        <v>Atrasado</v>
      </c>
    </row>
    <row r="139" customFormat="false" ht="14.25" hidden="false" customHeight="false" outlineLevel="0" collapsed="false">
      <c r="A139" s="18" t="str">
        <f aca="false">IFERROR(MID(D139,1,FIND("|",D139)-1)&amp;"-"&amp;C139,"")</f>
        <v>AICI202006-14-1-4</v>
      </c>
      <c r="B139" s="19" t="n">
        <f aca="false">IFERROR(__xludf.dummyfunction("""COMPUTED_VALUE"""),44657)</f>
        <v>44657</v>
      </c>
      <c r="C139" s="0" t="n">
        <f aca="false">IFERROR(__xludf.dummyfunction("""COMPUTED_VALUE"""),4)</f>
        <v>4</v>
      </c>
      <c r="D139" s="0" t="str">
        <f aca="false">IFERROR(__xludf.dummyfunction("""COMPUTED_VALUE"""),"AICI202006-14-1| Proponer que las diferencias presentadas en los IBC por los tiempos en la liquidación y reconocimiento de la incapacidad, cuenten con un margen de conciliación con contabilidad... (05/04/2021 - 31/08/2021)")</f>
        <v>AICI202006-14-1| Proponer que las diferencias presentadas en los IBC por los tiempos en la liquidación y reconocimiento de la incapacidad, cuenten con un margen de conciliación con contabilidad... (05/04/2021 - 31/08/2021)</v>
      </c>
      <c r="E139" s="0" t="str">
        <f aca="false">IFERROR(__xludf.dummyfunction("""COMPUTED_VALUE"""),"Contabilidad debe dar lineamiento en el caso de mayor o menor recaudo por incapacidades ")</f>
        <v>Contabilidad debe dar lineamiento en el caso de mayor o menor recaudo por incapacidades </v>
      </c>
      <c r="F139" s="0" t="str">
        <f aca="false">IFERROR(__xludf.dummyfunction("""COMPUTED_VALUE"""),"Atrasado")</f>
        <v>Atrasado</v>
      </c>
    </row>
    <row r="140" customFormat="false" ht="14.25" hidden="false" customHeight="false" outlineLevel="0" collapsed="false">
      <c r="A140" s="18" t="str">
        <f aca="false">IFERROR(MID(D140,1,FIND("|",D140)-1)&amp;"-"&amp;C140,"")</f>
        <v>AICI202006-15-1-4</v>
      </c>
      <c r="B140" s="19" t="n">
        <f aca="false">IFERROR(__xludf.dummyfunction("""COMPUTED_VALUE"""),44657)</f>
        <v>44657</v>
      </c>
      <c r="C140" s="0" t="n">
        <f aca="false">IFERROR(__xludf.dummyfunction("""COMPUTED_VALUE"""),4)</f>
        <v>4</v>
      </c>
      <c r="D140" s="0" t="str">
        <f aca="false">IFERROR(__xludf.dummyfunction("""COMPUTED_VALUE"""),"AICI202006-15-1| Publicar circular en la cual se divulgue a los funcionarios el proceso de incapacidades y sus requerimientos mínimos en caso de sobrepasar los 180 dias. (05/04/2021 - 31/08/2021)")</f>
        <v>AICI202006-15-1| Publicar circular en la cual se divulgue a los funcionarios el proceso de incapacidades y sus requerimientos mínimos en caso de sobrepasar los 180 dias. (05/04/2021 - 31/08/2021)</v>
      </c>
      <c r="E140" s="0" t="str">
        <f aca="false">IFERROR(__xludf.dummyfunction("""COMPUTED_VALUE"""),"Se publico la circular 016 dl 21 de septiembre de 2021 en intranet y adicional se envió a los correos personales de los funcionarios de planta")</f>
        <v>Se publico la circular 016 dl 21 de septiembre de 2021 en intranet y adicional se envió a los correos personales de los funcionarios de planta</v>
      </c>
      <c r="F140" s="0" t="str">
        <f aca="false">IFERROR(__xludf.dummyfunction("""COMPUTED_VALUE"""),"Completo")</f>
        <v>Completo</v>
      </c>
      <c r="G140" s="0" t="str">
        <f aca="false">IFERROR(__xludf.dummyfunction("""COMPUTED_VALUE"""),"Sí")</f>
        <v>Sí</v>
      </c>
    </row>
    <row r="141" customFormat="false" ht="14.25" hidden="false" customHeight="false" outlineLevel="0" collapsed="false">
      <c r="A141" s="18" t="str">
        <f aca="false">IFERROR(MID(D141,1,FIND("|",D141)-1)&amp;"-"&amp;C141,"")</f>
        <v>AICI202006-15-2-4</v>
      </c>
      <c r="B141" s="19" t="n">
        <f aca="false">IFERROR(__xludf.dummyfunction("""COMPUTED_VALUE"""),44657)</f>
        <v>44657</v>
      </c>
      <c r="C141" s="0" t="n">
        <f aca="false">IFERROR(__xludf.dummyfunction("""COMPUTED_VALUE"""),4)</f>
        <v>4</v>
      </c>
      <c r="D141" s="0" t="str">
        <f aca="false">IFERROR(__xludf.dummyfunction("""COMPUTED_VALUE"""),"AICI202006-15-2| Incluir dentro del instructivo de incapacidades el tema, previas consultas legales. (05/04/2021 - 31/08/2021)")</f>
        <v>AICI202006-15-2| Incluir dentro del instructivo de incapacidades el tema, previas consultas legales. (05/04/2021 - 31/08/2021)</v>
      </c>
      <c r="E141" s="0" t="str">
        <f aca="false">IFERROR(__xludf.dummyfunction("""COMPUTED_VALUE"""),"En el instructivo no se ha incluido el tema de consultas previas.")</f>
        <v>En el instructivo no se ha incluido el tema de consultas previas.</v>
      </c>
      <c r="F141" s="0" t="str">
        <f aca="false">IFERROR(__xludf.dummyfunction("""COMPUTED_VALUE"""),"Atrasado")</f>
        <v>Atrasado</v>
      </c>
    </row>
    <row r="142" customFormat="false" ht="14.25" hidden="false" customHeight="false" outlineLevel="0" collapsed="false">
      <c r="A142" s="18" t="str">
        <f aca="false">IFERROR(MID(D142,1,FIND("|",D142)-1)&amp;"-"&amp;C142,"")</f>
        <v>AICI202006-18-2-4</v>
      </c>
      <c r="B142" s="19" t="n">
        <f aca="false">IFERROR(__xludf.dummyfunction("""COMPUTED_VALUE"""),44657)</f>
        <v>44657</v>
      </c>
      <c r="C142" s="0" t="n">
        <f aca="false">IFERROR(__xludf.dummyfunction("""COMPUTED_VALUE"""),4)</f>
        <v>4</v>
      </c>
      <c r="D142" s="0" t="str">
        <f aca="false">IFERROR(__xludf.dummyfunction("""COMPUTED_VALUE"""),"AICI202006-18-2| Conciliar y depurar con contabilidad, valores reconocidos por las EPS correspondiente a la vigencia 2017 (05/04/2021 - 30/11/2021)")</f>
        <v>AICI202006-18-2| Conciliar y depurar con contabilidad, valores reconocidos por las EPS correspondiente a la vigencia 2017 (05/04/2021 - 30/11/2021)</v>
      </c>
      <c r="E142" s="0" t="str">
        <f aca="false">IFERROR(__xludf.dummyfunction("""COMPUTED_VALUE"""),"A la fecha del seguimiento no se ha conciliado entre las áreas de contabilidad e incapacidades de los valores reconocidos por incapacidades de la vigencia 2017.")</f>
        <v>A la fecha del seguimiento no se ha conciliado entre las áreas de contabilidad e incapacidades de los valores reconocidos por incapacidades de la vigencia 2017.</v>
      </c>
      <c r="F142" s="0" t="str">
        <f aca="false">IFERROR(__xludf.dummyfunction("""COMPUTED_VALUE"""),"Atrasado")</f>
        <v>Atrasado</v>
      </c>
    </row>
    <row r="143" customFormat="false" ht="14.25" hidden="false" customHeight="false" outlineLevel="0" collapsed="false">
      <c r="A143" s="18" t="str">
        <f aca="false">IFERROR(MID(D143,1,FIND("|",D143)-1)&amp;"-"&amp;C143,"")</f>
        <v>AICI202006-18-3-4</v>
      </c>
      <c r="B143" s="19" t="n">
        <f aca="false">IFERROR(__xludf.dummyfunction("""COMPUTED_VALUE"""),44657)</f>
        <v>44657</v>
      </c>
      <c r="C143" s="0" t="n">
        <f aca="false">IFERROR(__xludf.dummyfunction("""COMPUTED_VALUE"""),4)</f>
        <v>4</v>
      </c>
      <c r="D143" s="0" t="str">
        <f aca="false">IFERROR(__xludf.dummyfunction("""COMPUTED_VALUE"""),"AICI202006-18-3| Realizar conciliaciones mensuales con las áreas financieras, con el fin de descargar y controlar los pagos realzados por las EPS y ARL... (05/04/2021 - 30/11/2021)")</f>
        <v>AICI202006-18-3| Realizar conciliaciones mensuales con las áreas financieras, con el fin de descargar y controlar los pagos realzados por las EPS y ARL... (05/04/2021 - 30/11/2021)</v>
      </c>
      <c r="E143" s="0" t="str">
        <f aca="false">IFERROR(__xludf.dummyfunction("""COMPUTED_VALUE"""),"A la fecha del seguimiento no se ha conciliado entre las áreas de contabilidad e incapacidades la vigencia 2017. A partir del año 2021 se realizan conciliaciones mensuales.")</f>
        <v>A la fecha del seguimiento no se ha conciliado entre las áreas de contabilidad e incapacidades la vigencia 2017. A partir del año 2021 se realizan conciliaciones mensuales.</v>
      </c>
      <c r="F143" s="0" t="str">
        <f aca="false">IFERROR(__xludf.dummyfunction("""COMPUTED_VALUE"""),"Atrasado")</f>
        <v>Atrasado</v>
      </c>
    </row>
    <row r="144" customFormat="false" ht="14.25" hidden="false" customHeight="false" outlineLevel="0" collapsed="false">
      <c r="A144" s="18" t="str">
        <f aca="false">IFERROR(MID(D144,1,FIND("|",D144)-1)&amp;"-"&amp;C144,"")</f>
        <v>AICI202006-19-2-4</v>
      </c>
      <c r="B144" s="19" t="n">
        <f aca="false">IFERROR(__xludf.dummyfunction("""COMPUTED_VALUE"""),44657)</f>
        <v>44657</v>
      </c>
      <c r="C144" s="0" t="n">
        <f aca="false">IFERROR(__xludf.dummyfunction("""COMPUTED_VALUE"""),4)</f>
        <v>4</v>
      </c>
      <c r="D144" s="0" t="str">
        <f aca="false">IFERROR(__xludf.dummyfunction("""COMPUTED_VALUE"""),"AICI202006-19-2| Establecer con los abogados del área un protocolo y con el apoyo de la oficina Jurídica de la entidad, ... (05/04/2021 - 30/08/2021)")</f>
        <v>AICI202006-19-2| Establecer con los abogados del área un protocolo y con el apoyo de la oficina Jurídica de la entidad, ... (05/04/2021 - 30/08/2021)</v>
      </c>
      <c r="E144" s="0" t="str">
        <f aca="false">IFERROR(__xludf.dummyfunction("""COMPUTED_VALUE"""),"A la fecha del seguimiento no se ha dado cumplimiento a esta actividad.")</f>
        <v>A la fecha del seguimiento no se ha dado cumplimiento a esta actividad.</v>
      </c>
      <c r="F144" s="0" t="str">
        <f aca="false">IFERROR(__xludf.dummyfunction("""COMPUTED_VALUE"""),"Atrasado")</f>
        <v>Atrasado</v>
      </c>
    </row>
    <row r="145" customFormat="false" ht="14.25" hidden="false" customHeight="false" outlineLevel="0" collapsed="false">
      <c r="A145" s="18" t="str">
        <f aca="false">IFERROR(MID(D145,1,FIND("|",D145)-1)&amp;"-"&amp;C145,"")</f>
        <v>AICI202006-19-3-4</v>
      </c>
      <c r="B145" s="19" t="n">
        <f aca="false">IFERROR(__xludf.dummyfunction("""COMPUTED_VALUE"""),44657)</f>
        <v>44657</v>
      </c>
      <c r="C145" s="0" t="n">
        <f aca="false">IFERROR(__xludf.dummyfunction("""COMPUTED_VALUE"""),4)</f>
        <v>4</v>
      </c>
      <c r="D145" s="0" t="str">
        <f aca="false">IFERROR(__xludf.dummyfunction("""COMPUTED_VALUE"""),"AICI202006-19-3| Adelantar los procesos legales correspondientes en cada uno de los casos vigentes referidos en el informe en el numeral 8,3... (05/04/2021 - 30/08/2021)")</f>
        <v>AICI202006-19-3| Adelantar los procesos legales correspondientes en cada uno de los casos vigentes referidos en el informe en el numeral 8,3... (05/04/2021 - 30/08/2021)</v>
      </c>
      <c r="E145" s="0" t="str">
        <f aca="false">IFERROR(__xludf.dummyfunction("""COMPUTED_VALUE"""),"Desde el segundo seguimiento se anexaron los acuerdos de pago de los funcionarios Oscar Fernando Prado, Sandra Santana y Jorge Eliecer Sánchez y de un exfuncionario, en el tercer seguimiento se anexo el cobro coactivo de Ruth Marina Suancha, a la señora G"&amp;"loria Montañez se le realizo cobro persuasivo y se va a realizar el cobro coactivo. No se cierra la acción porque faltan los soportes de los otros casos.")</f>
        <v>Desde el segundo seguimiento se anexaron los acuerdos de pago de los funcionarios Oscar Fernando Prado, Sandra Santana y Jorge Eliecer Sánchez y de un exfuncionario, en el tercer seguimiento se anexo el cobro coactivo de Ruth Marina Suancha, a la señora Gloria Montañez se le realizo cobro persuasivo y se va a realizar el cobro coactivo. No se cierra la acción porque faltan los soportes de los otros casos.</v>
      </c>
      <c r="F145" s="0" t="str">
        <f aca="false">IFERROR(__xludf.dummyfunction("""COMPUTED_VALUE"""),"Atrasado")</f>
        <v>Atrasado</v>
      </c>
    </row>
    <row r="146" customFormat="false" ht="14.25" hidden="false" customHeight="false" outlineLevel="0" collapsed="false">
      <c r="A146" s="18" t="str">
        <f aca="false">IFERROR(MID(D146,1,FIND("|",D146)-1)&amp;"-"&amp;C146,"")</f>
        <v>AICI202006-20-1-4</v>
      </c>
      <c r="B146" s="19" t="n">
        <f aca="false">IFERROR(__xludf.dummyfunction("""COMPUTED_VALUE"""),44657)</f>
        <v>44657</v>
      </c>
      <c r="C146" s="0" t="n">
        <f aca="false">IFERROR(__xludf.dummyfunction("""COMPUTED_VALUE"""),4)</f>
        <v>4</v>
      </c>
      <c r="D146" s="0" t="str">
        <f aca="false">IFERROR(__xludf.dummyfunction("""COMPUTED_VALUE"""),"AICI202006-20-1| Requerir a Colpensiones y subsanar el hallazgo, (05/04/2021 - 30/08/2021)")</f>
        <v>AICI202006-20-1| Requerir a Colpensiones y subsanar el hallazgo, (05/04/2021 - 30/08/2021)</v>
      </c>
      <c r="E146" s="0" t="str">
        <f aca="false">IFERROR(__xludf.dummyfunction("""COMPUTED_VALUE"""),"Se requirió a Colpensiones pero no dio respuesta. Se va realizar cobro coactivo.")</f>
        <v>Se requirió a Colpensiones pero no dio respuesta. Se va realizar cobro coactivo.</v>
      </c>
      <c r="F146" s="0" t="str">
        <f aca="false">IFERROR(__xludf.dummyfunction("""COMPUTED_VALUE"""),"Atrasado")</f>
        <v>Atrasado</v>
      </c>
    </row>
    <row r="147" customFormat="false" ht="14.25" hidden="false" customHeight="false" outlineLevel="0" collapsed="false">
      <c r="A147" s="18" t="str">
        <f aca="false">IFERROR(MID(D147,1,FIND("|",D147)-1)&amp;"-"&amp;C147,"")</f>
        <v>AICI202006-20-2-4</v>
      </c>
      <c r="B147" s="19" t="n">
        <f aca="false">IFERROR(__xludf.dummyfunction("""COMPUTED_VALUE"""),44657)</f>
        <v>44657</v>
      </c>
      <c r="C147" s="0" t="n">
        <f aca="false">IFERROR(__xludf.dummyfunction("""COMPUTED_VALUE"""),4)</f>
        <v>4</v>
      </c>
      <c r="D147" s="0" t="str">
        <f aca="false">IFERROR(__xludf.dummyfunction("""COMPUTED_VALUE"""),"AICI202006-20-2| Solicitar los abogados del área y con el apoyo de la oficina Jurídica de la Subre Norte, realizar un documento con el fin de establecer parámetros y proceder en los futuros casos que se presenten (05/04/2021 - 30/08/2021)")</f>
        <v>AICI202006-20-2| Solicitar los abogados del área y con el apoyo de la oficina Jurídica de la Subre Norte, realizar un documento con el fin de establecer parámetros y proceder en los futuros casos que se presenten (05/04/2021 - 30/08/2021)</v>
      </c>
      <c r="E147" s="0" t="str">
        <f aca="false">IFERROR(__xludf.dummyfunction("""COMPUTED_VALUE"""),"A la fecha del seguimiento no se ha realizado la acción. ")</f>
        <v>A la fecha del seguimiento no se ha realizado la acción. </v>
      </c>
      <c r="F147" s="0" t="str">
        <f aca="false">IFERROR(__xludf.dummyfunction("""COMPUTED_VALUE"""),"Atrasado")</f>
        <v>Atrasado</v>
      </c>
    </row>
    <row r="148" customFormat="false" ht="14.25" hidden="false" customHeight="false" outlineLevel="0" collapsed="false">
      <c r="A148" s="18" t="str">
        <f aca="false">IFERROR(MID(D148,1,FIND("|",D148)-1)&amp;"-"&amp;C148,"")</f>
        <v>AICI202006-20-3-4</v>
      </c>
      <c r="B148" s="19" t="n">
        <f aca="false">IFERROR(__xludf.dummyfunction("""COMPUTED_VALUE"""),44657)</f>
        <v>44657</v>
      </c>
      <c r="C148" s="0" t="n">
        <f aca="false">IFERROR(__xludf.dummyfunction("""COMPUTED_VALUE"""),4)</f>
        <v>4</v>
      </c>
      <c r="D148" s="0" t="str">
        <f aca="false">IFERROR(__xludf.dummyfunction("""COMPUTED_VALUE"""),"AICI202006-20-3| Realizar las actuaciones jurídicas que correspondan en torno al caso de la Sra. Gloria inés Montaña. (05/04/2021 - 30/08/2021)")</f>
        <v>AICI202006-20-3| Realizar las actuaciones jurídicas que correspondan en torno al caso de la Sra. Gloria inés Montaña. (05/04/2021 - 30/08/2021)</v>
      </c>
      <c r="E148" s="0" t="str">
        <f aca="false">IFERROR(__xludf.dummyfunction("""COMPUTED_VALUE"""),"Se realizó cobro persuasivo y va realizar el cobro coactivo.")</f>
        <v>Se realizó cobro persuasivo y va realizar el cobro coactivo.</v>
      </c>
      <c r="F148" s="0" t="str">
        <f aca="false">IFERROR(__xludf.dummyfunction("""COMPUTED_VALUE"""),"Atrasado")</f>
        <v>Atrasado</v>
      </c>
    </row>
    <row r="149" customFormat="false" ht="14.25" hidden="false" customHeight="false" outlineLevel="0" collapsed="false">
      <c r="A149" s="18" t="str">
        <f aca="false">IFERROR(MID(D149,1,FIND("|",D149)-1)&amp;"-"&amp;C149,"")</f>
        <v>AICI202006-5-1-5</v>
      </c>
      <c r="B149" s="19" t="n">
        <f aca="false">IFERROR(__xludf.dummyfunction("""COMPUTED_VALUE"""),44748)</f>
        <v>44748</v>
      </c>
      <c r="C149" s="0" t="n">
        <f aca="false">IFERROR(__xludf.dummyfunction("""COMPUTED_VALUE"""),5)</f>
        <v>5</v>
      </c>
      <c r="D149" s="0" t="str">
        <f aca="false">IFERROR(__xludf.dummyfunction("""COMPUTED_VALUE"""),"AICI202006-5-1| Realizar análisis cuidadoso de los riesgos que pueden presentarse en la ejecución del procedimiento de incapacidades, así como de las no conformidades evidenciadas en el informe de auditoría, con los directos implicados en el tema de incap"&amp;"acidades. (05/abr/2021 - 30/nov/2021)")</f>
        <v>AICI202006-5-1| Realizar análisis cuidadoso de los riesgos que pueden presentarse en la ejecución del procedimiento de incapacidades, así como de las no conformidades evidenciadas en el informe de auditoría, con los directos implicados en el tema de incapacidades. (05/abr/2021 - 30/nov/2021)</v>
      </c>
      <c r="E149" s="0" t="str">
        <f aca="false">IFERROR(__xludf.dummyfunction("""COMPUTED_VALUE"""),"Se realizara una mesa de trabajo  en el mes de julio con el propósito de identificar y gestionar los riesgos y controles que se realizan dentro del proceso de incapacidades  para ser tenidos en cuenta en la siguiente actualización del mapa de riesgos")</f>
        <v>Se realizara una mesa de trabajo  en el mes de julio con el propósito de identificar y gestionar los riesgos y controles que se realizan dentro del proceso de incapacidades  para ser tenidos en cuenta en la siguiente actualización del mapa de riesgos</v>
      </c>
      <c r="F149" s="0" t="str">
        <f aca="false">IFERROR(__xludf.dummyfunction("""COMPUTED_VALUE"""),"Atrasado")</f>
        <v>Atrasado</v>
      </c>
    </row>
    <row r="150" customFormat="false" ht="14.25" hidden="false" customHeight="false" outlineLevel="0" collapsed="false">
      <c r="A150" s="18" t="str">
        <f aca="false">IFERROR(MID(D150,1,FIND("|",D150)-1)&amp;"-"&amp;C150,"")</f>
        <v>AICI202006-5-3-5</v>
      </c>
      <c r="B150" s="19" t="n">
        <f aca="false">IFERROR(__xludf.dummyfunction("""COMPUTED_VALUE"""),44748)</f>
        <v>44748</v>
      </c>
      <c r="C150" s="0" t="n">
        <f aca="false">IFERROR(__xludf.dummyfunction("""COMPUTED_VALUE"""),5)</f>
        <v>5</v>
      </c>
      <c r="D150" s="0" t="str">
        <f aca="false">IFERROR(__xludf.dummyfunction("""COMPUTED_VALUE"""),"AICI202006-5-3| Realizar reuiniones con los abogados del área de Talento Humano para la idenficación de los riesgos jurídicos. (05/abr/2021 - 30/nov/2021)")</f>
        <v>AICI202006-5-3| Realizar reuiniones con los abogados del área de Talento Humano para la idenficación de los riesgos jurídicos. (05/abr/2021 - 30/nov/2021)</v>
      </c>
      <c r="E150" s="0" t="str">
        <f aca="false">IFERROR(__xludf.dummyfunction("""COMPUTED_VALUE"""),"Se realizara un mesa de trabajo  en el mes de julio con el propósito de identificar y gestionar los riesgos y controles que se realizan dentro del proceso de incapacidades  para ser tenidos en cuenta en la siguiente actualización del mapa de riesgos")</f>
        <v>Se realizara un mesa de trabajo  en el mes de julio con el propósito de identificar y gestionar los riesgos y controles que se realizan dentro del proceso de incapacidades  para ser tenidos en cuenta en la siguiente actualización del mapa de riesgos</v>
      </c>
      <c r="F150" s="0" t="str">
        <f aca="false">IFERROR(__xludf.dummyfunction("""COMPUTED_VALUE"""),"Atrasado")</f>
        <v>Atrasado</v>
      </c>
    </row>
    <row r="151" customFormat="false" ht="14.25" hidden="false" customHeight="false" outlineLevel="0" collapsed="false">
      <c r="A151" s="18" t="str">
        <f aca="false">IFERROR(MID(D151,1,FIND("|",D151)-1)&amp;"-"&amp;C151,"")</f>
        <v>AICI202006-9-2-5</v>
      </c>
      <c r="B151" s="19" t="n">
        <f aca="false">IFERROR(__xludf.dummyfunction("""COMPUTED_VALUE"""),44748)</f>
        <v>44748</v>
      </c>
      <c r="C151" s="0" t="n">
        <f aca="false">IFERROR(__xludf.dummyfunction("""COMPUTED_VALUE"""),5)</f>
        <v>5</v>
      </c>
      <c r="D151" s="0" t="str">
        <f aca="false">IFERROR(__xludf.dummyfunction("""COMPUTED_VALUE"""),"AICI202006-9-2| Asignar  un técnico para la recepción y validación de las incapacides remitidas a talento humano por los canales dispuestos para tal fin. (01/abr/2021 - 15/abr/2021)")</f>
        <v>AICI202006-9-2| Asignar  un técnico para la recepción y validación de las incapacides remitidas a talento humano por los canales dispuestos para tal fin. (01/abr/2021 - 15/abr/2021)</v>
      </c>
      <c r="E151" s="0" t="str">
        <f aca="false">IFERROR(__xludf.dummyfunction("""COMPUTED_VALUE""")," Se adjunta acta de designación de Lizeth Hidalgo para las actividades de recepción ingreso revisión de las incapacidades a partir del 1 de mayo de 2022")</f>
        <v> Se adjunta acta de designación de Lizeth Hidalgo para las actividades de recepción ingreso revisión de las incapacidades a partir del 1 de mayo de 2022</v>
      </c>
      <c r="F151" s="0" t="str">
        <f aca="false">IFERROR(__xludf.dummyfunction("""COMPUTED_VALUE"""),"Completo")</f>
        <v>Completo</v>
      </c>
      <c r="G151" s="0" t="str">
        <f aca="false">IFERROR(__xludf.dummyfunction("""COMPUTED_VALUE"""),"Sí")</f>
        <v>Sí</v>
      </c>
    </row>
    <row r="152" customFormat="false" ht="14.25" hidden="false" customHeight="false" outlineLevel="0" collapsed="false">
      <c r="A152" s="18" t="str">
        <f aca="false">IFERROR(MID(D152,1,FIND("|",D152)-1)&amp;"-"&amp;C152,"")</f>
        <v>AICI202006-13-2-5</v>
      </c>
      <c r="B152" s="19" t="n">
        <f aca="false">IFERROR(__xludf.dummyfunction("""COMPUTED_VALUE"""),44748)</f>
        <v>44748</v>
      </c>
      <c r="C152" s="0" t="n">
        <f aca="false">IFERROR(__xludf.dummyfunction("""COMPUTED_VALUE"""),5)</f>
        <v>5</v>
      </c>
      <c r="D152" s="0" t="str">
        <f aca="false">IFERROR(__xludf.dummyfunction("""COMPUTED_VALUE"""),"AICI202006-13-2| Incluír en la hoja de calculo diseñada para unificar el registro de incapacidades, la aplicación de los pagos realizados por las EAPB, derivados de las incapacidades de cada funcionario. (01/oct/2021 - 31/dic/2021)")</f>
        <v>AICI202006-13-2| Incluír en la hoja de calculo diseñada para unificar el registro de incapacidades, la aplicación de los pagos realizados por las EAPB, derivados de las incapacidades de cada funcionario. (01/oct/2021 - 31/dic/2021)</v>
      </c>
      <c r="E152" s="0" t="str">
        <f aca="false">IFERROR(__xludf.dummyfunction("""COMPUTED_VALUE"""),"Debido a la implementación del modulo de cartera a partir de mayo de 2022, ya se cuenta con la información histórica de 2021, no se hace necesaria ya la inclusión de esta nueva hoja de calculo debido a que la información que se requería sale directamente "&amp;"del modulo de Sinergy, y lo que generaría un reproceso.")</f>
        <v>Debido a la implementación del modulo de cartera a partir de mayo de 2022, ya se cuenta con la información histórica de 2021, no se hace necesaria ya la inclusión de esta nueva hoja de calculo debido a que la información que se requería sale directamente del modulo de Sinergy, y lo que generaría un reproceso.</v>
      </c>
      <c r="F152" s="0" t="str">
        <f aca="false">IFERROR(__xludf.dummyfunction("""COMPUTED_VALUE"""),"Completo")</f>
        <v>Completo</v>
      </c>
      <c r="G152" s="0" t="str">
        <f aca="false">IFERROR(__xludf.dummyfunction("""COMPUTED_VALUE"""),"Sí")</f>
        <v>Sí</v>
      </c>
    </row>
    <row r="153" customFormat="false" ht="14.25" hidden="false" customHeight="false" outlineLevel="0" collapsed="false">
      <c r="A153" s="18" t="str">
        <f aca="false">IFERROR(MID(D153,1,FIND("|",D153)-1)&amp;"-"&amp;C153,"")</f>
        <v>AICI202006-13-3-5</v>
      </c>
      <c r="B153" s="19" t="n">
        <f aca="false">IFERROR(__xludf.dummyfunction("""COMPUTED_VALUE"""),44748)</f>
        <v>44748</v>
      </c>
      <c r="C153" s="0" t="n">
        <f aca="false">IFERROR(__xludf.dummyfunction("""COMPUTED_VALUE"""),5)</f>
        <v>5</v>
      </c>
      <c r="D153" s="0" t="str">
        <f aca="false">IFERROR(__xludf.dummyfunction("""COMPUTED_VALUE"""),"AICI202006-13-3| Implementar el modulo de cartera del sistema de información Sinergy (01/oct/2021 - 31/dic/2021)")</f>
        <v>AICI202006-13-3| Implementar el modulo de cartera del sistema de información Sinergy (01/oct/2021 - 31/dic/2021)</v>
      </c>
      <c r="E153" s="0" t="str">
        <f aca="false">IFERROR(__xludf.dummyfunction("""COMPUTED_VALUE"""),"Según evidencia revisada el modulo de cartera ya se encuentra implementado dentro de Sinergy desde el mes de mayo de la actual vigencia,  se esta cargando la información desde 2021  que permite generar informes y se realiza un control por el área de incap"&amp;"acidades con los pagos realizados por las EPS.")</f>
        <v>Según evidencia revisada el modulo de cartera ya se encuentra implementado dentro de Sinergy desde el mes de mayo de la actual vigencia,  se esta cargando la información desde 2021  que permite generar informes y se realiza un control por el área de incapacidades con los pagos realizados por las EPS.</v>
      </c>
      <c r="F153" s="0" t="str">
        <f aca="false">IFERROR(__xludf.dummyfunction("""COMPUTED_VALUE"""),"Completo")</f>
        <v>Completo</v>
      </c>
      <c r="G153" s="0" t="str">
        <f aca="false">IFERROR(__xludf.dummyfunction("""COMPUTED_VALUE"""),"Sí")</f>
        <v>Sí</v>
      </c>
    </row>
    <row r="154" customFormat="false" ht="14.25" hidden="false" customHeight="false" outlineLevel="0" collapsed="false">
      <c r="A154" s="18" t="str">
        <f aca="false">IFERROR(MID(D154,1,FIND("|",D154)-1)&amp;"-"&amp;C154,"")</f>
        <v>AICI202006-14-1-5</v>
      </c>
      <c r="B154" s="19" t="n">
        <f aca="false">IFERROR(__xludf.dummyfunction("""COMPUTED_VALUE"""),44748)</f>
        <v>44748</v>
      </c>
      <c r="C154" s="0" t="n">
        <f aca="false">IFERROR(__xludf.dummyfunction("""COMPUTED_VALUE"""),5)</f>
        <v>5</v>
      </c>
      <c r="D154" s="0" t="str">
        <f aca="false">IFERROR(__xludf.dummyfunction("""COMPUTED_VALUE"""),"AICI202006-14-1| Proponer que las diferencias presentadas en los IBC por los tiempos en la liquidación y reconocimiento de la incapacidad, cuenten con un margen de conciliación con contabilidad para  saldos dentro del periodo de aplicación  (05/abr/2021 -"&amp;" 31/ago/2021)")</f>
        <v>AICI202006-14-1| Proponer que las diferencias presentadas en los IBC por los tiempos en la liquidación y reconocimiento de la incapacidad, cuenten con un margen de conciliación con contabilidad para  saldos dentro del periodo de aplicación  (05/abr/2021 - 31/ago/2021)</v>
      </c>
      <c r="E154" s="0" t="str">
        <f aca="false">IFERROR(__xludf.dummyfunction("""COMPUTED_VALUE"""),"Se anexa soporte de comunicación enviada al a dirección financiera donde se solicita dar lineamiento sobre los casos de excedentes y/o déficit en los pagos realizados por las EPS  sin embargo aun no se tiene respuesta por parte del área financiera")</f>
        <v>Se anexa soporte de comunicación enviada al a dirección financiera donde se solicita dar lineamiento sobre los casos de excedentes y/o déficit en los pagos realizados por las EPS  sin embargo aun no se tiene respuesta por parte del área financiera</v>
      </c>
      <c r="F154" s="0" t="str">
        <f aca="false">IFERROR(__xludf.dummyfunction("""COMPUTED_VALUE"""),"Atrasado")</f>
        <v>Atrasado</v>
      </c>
    </row>
    <row r="155" customFormat="false" ht="14.25" hidden="false" customHeight="false" outlineLevel="0" collapsed="false">
      <c r="A155" s="18" t="str">
        <f aca="false">IFERROR(MID(D155,1,FIND("|",D155)-1)&amp;"-"&amp;C155,"")</f>
        <v>AICI202006-15-2-5</v>
      </c>
      <c r="B155" s="19" t="n">
        <f aca="false">IFERROR(__xludf.dummyfunction("""COMPUTED_VALUE"""),44748)</f>
        <v>44748</v>
      </c>
      <c r="C155" s="0" t="n">
        <f aca="false">IFERROR(__xludf.dummyfunction("""COMPUTED_VALUE"""),5)</f>
        <v>5</v>
      </c>
      <c r="D155" s="0" t="str">
        <f aca="false">IFERROR(__xludf.dummyfunction("""COMPUTED_VALUE"""),"AICI202006-15-2| Incluir dentro del instructivo de incapacidades el tema, previas consultas legales. (05/abr/2021 - 31/ago/2021)")</f>
        <v>AICI202006-15-2| Incluir dentro del instructivo de incapacidades el tema, previas consultas legales. (05/abr/2021 - 31/ago/2021)</v>
      </c>
      <c r="E155" s="0" t="str">
        <f aca="false">IFERROR(__xludf.dummyfunction("""COMPUTED_VALUE"""),"En el sistema de información se estableció un control y restricción para no pagar las incapacidades mayores a 180 días. Ademas  se tiene como soporte el instructivo de incapacidades el cual ha sido socializado en la pagina web de Subred Norte. De otra par"&amp;"te se envían correos de notificaciones a los funcionarios sobre el cumplimiento de los 180 días de incapacidad remitidos por el área de Talento Humano. ")</f>
        <v>En el sistema de información se estableció un control y restricción para no pagar las incapacidades mayores a 180 días. Ademas  se tiene como soporte el instructivo de incapacidades el cual ha sido socializado en la pagina web de Subred Norte. De otra parte se envían correos de notificaciones a los funcionarios sobre el cumplimiento de los 180 días de incapacidad remitidos por el área de Talento Humano. </v>
      </c>
      <c r="F155" s="0" t="str">
        <f aca="false">IFERROR(__xludf.dummyfunction("""COMPUTED_VALUE"""),"Completo")</f>
        <v>Completo</v>
      </c>
      <c r="G155" s="0" t="str">
        <f aca="false">IFERROR(__xludf.dummyfunction("""COMPUTED_VALUE"""),"Sí")</f>
        <v>Sí</v>
      </c>
    </row>
    <row r="156" customFormat="false" ht="14.25" hidden="false" customHeight="false" outlineLevel="0" collapsed="false">
      <c r="A156" s="18" t="str">
        <f aca="false">IFERROR(MID(D156,1,FIND("|",D156)-1)&amp;"-"&amp;C156,"")</f>
        <v>AICI202006-18-1-5</v>
      </c>
      <c r="B156" s="19" t="n">
        <f aca="false">IFERROR(__xludf.dummyfunction("""COMPUTED_VALUE"""),44748)</f>
        <v>44748</v>
      </c>
      <c r="C156" s="0" t="n">
        <f aca="false">IFERROR(__xludf.dummyfunction("""COMPUTED_VALUE"""),5)</f>
        <v>5</v>
      </c>
      <c r="D156" s="0" t="str">
        <f aca="false">IFERROR(__xludf.dummyfunction("""COMPUTED_VALUE"""),"AICI202006-18-1| Realizar las fichas de saneamiento fiscal que sean necesarias con el concepto juridico con relación a las vigencias que prescriben. (05/abr/2021 - 30/nov/2021)")</f>
        <v>AICI202006-18-1| Realizar las fichas de saneamiento fiscal que sean necesarias con el concepto juridico con relación a las vigencias que prescriben. (05/abr/2021 - 30/nov/2021)</v>
      </c>
      <c r="E156" s="0" t="str">
        <f aca="false">IFERROR(__xludf.dummyfunction("""COMPUTED_VALUE"""),"Se solicito nuevamente el concepto a Jurídica, para llevarlas al comité de saneamiento el cual debe ser por funcionario pero aun no se tiene respuesta. ")</f>
        <v>Se solicito nuevamente el concepto a Jurídica, para llevarlas al comité de saneamiento el cual debe ser por funcionario pero aun no se tiene respuesta. </v>
      </c>
      <c r="F156" s="0" t="str">
        <f aca="false">IFERROR(__xludf.dummyfunction("""COMPUTED_VALUE"""),"Atrasado")</f>
        <v>Atrasado</v>
      </c>
    </row>
    <row r="157" customFormat="false" ht="14.25" hidden="false" customHeight="false" outlineLevel="0" collapsed="false">
      <c r="A157" s="18" t="str">
        <f aca="false">IFERROR(MID(D157,1,FIND("|",D157)-1)&amp;"-"&amp;C157,"")</f>
        <v>AICI202006-18-2-5</v>
      </c>
      <c r="B157" s="19" t="n">
        <f aca="false">IFERROR(__xludf.dummyfunction("""COMPUTED_VALUE"""),44748)</f>
        <v>44748</v>
      </c>
      <c r="C157" s="0" t="n">
        <f aca="false">IFERROR(__xludf.dummyfunction("""COMPUTED_VALUE"""),5)</f>
        <v>5</v>
      </c>
      <c r="D157" s="0" t="str">
        <f aca="false">IFERROR(__xludf.dummyfunction("""COMPUTED_VALUE"""),"AICI202006-18-2| Conciliar y depurar con contabilidad,  valores reconocidos por las EPS correspondiente a la vigencia  2017 (05/abr/2021 - 30/nov/2021)")</f>
        <v>AICI202006-18-2| Conciliar y depurar con contabilidad,  valores reconocidos por las EPS correspondiente a la vigencia  2017 (05/abr/2021 - 30/nov/2021)</v>
      </c>
      <c r="E157" s="0" t="str">
        <f aca="false">IFERROR(__xludf.dummyfunction("""COMPUTED_VALUE"""),"Se solicito nuevamente el concepto a Jurídica, para llevarlas al comité de saneamiento pero aun no se tiene respuesta. ")</f>
        <v>Se solicito nuevamente el concepto a Jurídica, para llevarlas al comité de saneamiento pero aun no se tiene respuesta. </v>
      </c>
      <c r="F157" s="0" t="str">
        <f aca="false">IFERROR(__xludf.dummyfunction("""COMPUTED_VALUE"""),"Atrasado")</f>
        <v>Atrasado</v>
      </c>
    </row>
    <row r="158" customFormat="false" ht="14.25" hidden="false" customHeight="false" outlineLevel="0" collapsed="false">
      <c r="A158" s="18" t="str">
        <f aca="false">IFERROR(MID(D158,1,FIND("|",D158)-1)&amp;"-"&amp;C158,"")</f>
        <v>AICI202006-18-3-5</v>
      </c>
      <c r="B158" s="19" t="n">
        <f aca="false">IFERROR(__xludf.dummyfunction("""COMPUTED_VALUE"""),44748)</f>
        <v>44748</v>
      </c>
      <c r="C158" s="0" t="n">
        <f aca="false">IFERROR(__xludf.dummyfunction("""COMPUTED_VALUE"""),5)</f>
        <v>5</v>
      </c>
      <c r="D158" s="0" t="str">
        <f aca="false">IFERROR(__xludf.dummyfunction("""COMPUTED_VALUE"""),"AICI202006-18-3| Realizar conciliaciones mensuales con las áreas financieras, con el fin de descargar y controlar los pagos realzados por las EPS y ARL-  Conciliar y depurar con contabilidad,  valores reconocidos por las EPS correspondiente a la vigencia "&amp;" 2017 (05/abr/2021 - 30/nov/2021)")</f>
        <v>AICI202006-18-3| Realizar conciliaciones mensuales con las áreas financieras, con el fin de descargar y controlar los pagos realzados por las EPS y ARL-  Conciliar y depurar con contabilidad,  valores reconocidos por las EPS correspondiente a la vigencia  2017 (05/abr/2021 - 30/nov/2021)</v>
      </c>
      <c r="E158" s="0" t="str">
        <f aca="false">IFERROR(__xludf.dummyfunction("""COMPUTED_VALUE"""),"se evidencia que a partir de  nov de 2020 se realizan conciliaciones con contabilidad y a partir de 2021 se  realizan con cartera  ")</f>
        <v>se evidencia que a partir de  nov de 2020 se realizan conciliaciones con contabilidad y a partir de 2021 se  realizan con cartera  </v>
      </c>
      <c r="F158" s="0" t="str">
        <f aca="false">IFERROR(__xludf.dummyfunction("""COMPUTED_VALUE"""),"Completo")</f>
        <v>Completo</v>
      </c>
      <c r="G158" s="0" t="str">
        <f aca="false">IFERROR(__xludf.dummyfunction("""COMPUTED_VALUE"""),"Sí")</f>
        <v>Sí</v>
      </c>
    </row>
    <row r="159" customFormat="false" ht="14.25" hidden="false" customHeight="false" outlineLevel="0" collapsed="false">
      <c r="A159" s="18" t="str">
        <f aca="false">IFERROR(MID(D159,1,FIND("|",D159)-1)&amp;"-"&amp;C159,"")</f>
        <v>AICI202006-19-2-5</v>
      </c>
      <c r="B159" s="19" t="n">
        <f aca="false">IFERROR(__xludf.dummyfunction("""COMPUTED_VALUE"""),44748)</f>
        <v>44748</v>
      </c>
      <c r="C159" s="0" t="n">
        <f aca="false">IFERROR(__xludf.dummyfunction("""COMPUTED_VALUE"""),5)</f>
        <v>5</v>
      </c>
      <c r="D159" s="0" t="str">
        <f aca="false">IFERROR(__xludf.dummyfunction("""COMPUTED_VALUE"""),"AICI202006-19-2| Establecer con los abogados del área un protocolo  y con el apoyo de la oficina Jurídica de la entidad, los parámetros  para proceder, en los futuros casos de situaciones de cobro de incapacidades de más de 180 días a los funcionarios. (0"&amp;"5/abr/2021 - 30/ago/2021)")</f>
        <v>AICI202006-19-2| Establecer con los abogados del área un protocolo  y con el apoyo de la oficina Jurídica de la entidad, los parámetros  para proceder, en los futuros casos de situaciones de cobro de incapacidades de más de 180 días a los funcionarios. (05/abr/2021 - 30/ago/2021)</v>
      </c>
      <c r="E159" s="0" t="str">
        <f aca="false">IFERROR(__xludf.dummyfunction("""COMPUTED_VALUE"""),"Se tiene como soporte el instructivo de incapacidades y soporte de notificación al empleados sobre el cumplimiento de los 180 días de incapacidad que son brindados por Talento Humano  adicionalmente el sistema esta ya parametrizado para que se suspenda el"&amp;" pago de incapacidades a partir del día 181. Pero aun hace falta la incorporación del protocolo con apoyo de la oficina jurídica.")</f>
        <v>Se tiene como soporte el instructivo de incapacidades y soporte de notificación al empleados sobre el cumplimiento de los 180 días de incapacidad que son brindados por Talento Humano  adicionalmente el sistema esta ya parametrizado para que se suspenda el pago de incapacidades a partir del día 181. Pero aun hace falta la incorporación del protocolo con apoyo de la oficina jurídica.</v>
      </c>
      <c r="F159" s="0" t="str">
        <f aca="false">IFERROR(__xludf.dummyfunction("""COMPUTED_VALUE"""),"Atrasado")</f>
        <v>Atrasado</v>
      </c>
    </row>
    <row r="160" customFormat="false" ht="14.25" hidden="false" customHeight="false" outlineLevel="0" collapsed="false">
      <c r="A160" s="18" t="str">
        <f aca="false">IFERROR(MID(D160,1,FIND("|",D160)-1)&amp;"-"&amp;C160,"")</f>
        <v>AICI202006-19-3-5</v>
      </c>
      <c r="B160" s="19" t="n">
        <f aca="false">IFERROR(__xludf.dummyfunction("""COMPUTED_VALUE"""),44748)</f>
        <v>44748</v>
      </c>
      <c r="C160" s="0" t="n">
        <f aca="false">IFERROR(__xludf.dummyfunction("""COMPUTED_VALUE"""),5)</f>
        <v>5</v>
      </c>
      <c r="D160" s="0" t="str">
        <f aca="false">IFERROR(__xludf.dummyfunction("""COMPUTED_VALUE"""),"AICI202006-19-3| Adelantar  los procesos legales correspondientes en cada uno de los casos vigentes referidos en el informe  en el numeral 8,3, trámite a realizar con los abogados del área con el apoyo de la oficina jurídica de la entidad.  (05/abr/2021 -"&amp;" 30/ago/2021)")</f>
        <v>AICI202006-19-3| Adelantar  los procesos legales correspondientes en cada uno de los casos vigentes referidos en el informe  en el numeral 8,3, trámite a realizar con los abogados del área con el apoyo de la oficina jurídica de la entidad.  (05/abr/2021 - 30/ago/2021)</v>
      </c>
      <c r="E160" s="0" t="str">
        <f aca="false">IFERROR(__xludf.dummyfunction("""COMPUTED_VALUE"""),"A pesar de que han suscrito acuerdos de pago con algunos de los funcionarios y exfuncionarios que da pendiente el proceso de Gloria Montaña y se debe identificar y conseguir los soportes del exfuncionario.")</f>
        <v>A pesar de que han suscrito acuerdos de pago con algunos de los funcionarios y exfuncionarios que da pendiente el proceso de Gloria Montaña y se debe identificar y conseguir los soportes del exfuncionario.</v>
      </c>
      <c r="F160" s="0" t="str">
        <f aca="false">IFERROR(__xludf.dummyfunction("""COMPUTED_VALUE"""),"Atrasado")</f>
        <v>Atrasado</v>
      </c>
    </row>
    <row r="161" customFormat="false" ht="14.25" hidden="false" customHeight="false" outlineLevel="0" collapsed="false">
      <c r="A161" s="18" t="str">
        <f aca="false">IFERROR(MID(D161,1,FIND("|",D161)-1)&amp;"-"&amp;C161,"")</f>
        <v>AICI202006-20-1-5</v>
      </c>
      <c r="B161" s="19" t="n">
        <f aca="false">IFERROR(__xludf.dummyfunction("""COMPUTED_VALUE"""),44748)</f>
        <v>44748</v>
      </c>
      <c r="C161" s="0" t="n">
        <f aca="false">IFERROR(__xludf.dummyfunction("""COMPUTED_VALUE"""),5)</f>
        <v>5</v>
      </c>
      <c r="D161" s="0" t="str">
        <f aca="false">IFERROR(__xludf.dummyfunction("""COMPUTED_VALUE"""),"AICI202006-20-1| Requerir a Colpensiones y  subsanar el hallazgo,  (05/abr/2021 - 30/ago/2021)")</f>
        <v>AICI202006-20-1| Requerir a Colpensiones y  subsanar el hallazgo,  (05/abr/2021 - 30/ago/2021)</v>
      </c>
      <c r="E161" s="0" t="str">
        <f aca="false">IFERROR(__xludf.dummyfunction("""COMPUTED_VALUE"""),"El área de Incapacidades informa que para empezar el proceso de cobro coactivo debe realizarse primero el cobro persuasivo, el cual ya se esta tramitando, ( con radicado 20223300120471) porque aun no se había iniciado el cobro persuasivo.")</f>
        <v>El área de Incapacidades informa que para empezar el proceso de cobro coactivo debe realizarse primero el cobro persuasivo, el cual ya se esta tramitando, ( con radicado 20223300120471) porque aun no se había iniciado el cobro persuasivo.</v>
      </c>
      <c r="F161" s="0" t="str">
        <f aca="false">IFERROR(__xludf.dummyfunction("""COMPUTED_VALUE"""),"Atrasado")</f>
        <v>Atrasado</v>
      </c>
    </row>
    <row r="162" customFormat="false" ht="14.25" hidden="false" customHeight="false" outlineLevel="0" collapsed="false">
      <c r="A162" s="18" t="str">
        <f aca="false">IFERROR(MID(D162,1,FIND("|",D162)-1)&amp;"-"&amp;C162,"")</f>
        <v>AICI202006-20-2-5</v>
      </c>
      <c r="B162" s="19" t="n">
        <f aca="false">IFERROR(__xludf.dummyfunction("""COMPUTED_VALUE"""),44748)</f>
        <v>44748</v>
      </c>
      <c r="C162" s="0" t="n">
        <f aca="false">IFERROR(__xludf.dummyfunction("""COMPUTED_VALUE"""),5)</f>
        <v>5</v>
      </c>
      <c r="D162" s="0" t="str">
        <f aca="false">IFERROR(__xludf.dummyfunction("""COMPUTED_VALUE"""),"AICI202006-20-2| Solicitar los abogados del área y con el apoyo de la oficina Jurídica de la Subre Norte, realizar un documento con el fin de establecer parámetros y proceder en los futuros casos que se presenten (05/abr/2021 - 30/ago/2021)")</f>
        <v>AICI202006-20-2| Solicitar los abogados del área y con el apoyo de la oficina Jurídica de la Subre Norte, realizar un documento con el fin de establecer parámetros y proceder en los futuros casos que se presenten (05/abr/2021 - 30/ago/2021)</v>
      </c>
      <c r="E162" s="0" t="str">
        <f aca="false">IFERROR(__xludf.dummyfunction("""COMPUTED_VALUE"""),"Sobre esta acción no ha habido avances")</f>
        <v>Sobre esta acción no ha habido avances</v>
      </c>
      <c r="F162" s="0" t="str">
        <f aca="false">IFERROR(__xludf.dummyfunction("""COMPUTED_VALUE"""),"Atrasado")</f>
        <v>Atrasado</v>
      </c>
    </row>
    <row r="163" customFormat="false" ht="14.25" hidden="false" customHeight="false" outlineLevel="0" collapsed="false">
      <c r="A163" s="18" t="str">
        <f aca="false">IFERROR(MID(D163,1,FIND("|",D163)-1)&amp;"-"&amp;C163,"")</f>
        <v>AICI202006-20-3-5</v>
      </c>
      <c r="B163" s="19" t="n">
        <f aca="false">IFERROR(__xludf.dummyfunction("""COMPUTED_VALUE"""),44748)</f>
        <v>44748</v>
      </c>
      <c r="C163" s="0" t="n">
        <f aca="false">IFERROR(__xludf.dummyfunction("""COMPUTED_VALUE"""),5)</f>
        <v>5</v>
      </c>
      <c r="D163" s="0" t="str">
        <f aca="false">IFERROR(__xludf.dummyfunction("""COMPUTED_VALUE"""),"AICI202006-20-3| Realizar  las actuaciones jurídicas que correspondan en torno al caso de la Sra. Gloria inés Montaña. (05/abr/2021 - 30/ago/2021)")</f>
        <v>AICI202006-20-3| Realizar  las actuaciones jurídicas que correspondan en torno al caso de la Sra. Gloria inés Montaña. (05/abr/2021 - 30/ago/2021)</v>
      </c>
      <c r="E163" s="0" t="str">
        <f aca="false">IFERROR(__xludf.dummyfunction("""COMPUTED_VALUE"""),"El área informa que para empezar el proceso de cobro coactivo debe realizarse primero el cobro persuasivo, el cual ya se esta tramitando, ( con radicado 20223300120471) porque aun no se ha iniciado este cobro persuasivo")</f>
        <v>El área informa que para empezar el proceso de cobro coactivo debe realizarse primero el cobro persuasivo, el cual ya se esta tramitando, ( con radicado 20223300120471) porque aun no se ha iniciado este cobro persuasivo</v>
      </c>
      <c r="F163" s="0" t="str">
        <f aca="false">IFERROR(__xludf.dummyfunction("""COMPUTED_VALUE"""),"Atrasado")</f>
        <v>Atrasado</v>
      </c>
    </row>
    <row r="164" customFormat="false" ht="14.25" hidden="false" customHeight="false" outlineLevel="0" collapsed="false">
      <c r="A164" s="18" t="str">
        <f aca="false">IFERROR(MID(D164,1,FIND("|",D164)-1)&amp;"-"&amp;C164,"")</f>
        <v>AICI202006-14-1-6</v>
      </c>
      <c r="B164" s="19" t="n">
        <f aca="false">IFERROR(__xludf.dummyfunction("""COMPUTED_VALUE"""),44838)</f>
        <v>44838</v>
      </c>
      <c r="C164" s="0" t="n">
        <f aca="false">IFERROR(__xludf.dummyfunction("""COMPUTED_VALUE"""),6)</f>
        <v>6</v>
      </c>
      <c r="D164" s="0" t="str">
        <f aca="false">IFERROR(__xludf.dummyfunction("""COMPUTED_VALUE"""),"AICI202006-14-1| Proponer que las diferencias presentadas en los IBC por los tiempos en la liquidación y reconocimiento de la incapacidad, cuenten con un margen de conciliación con contabilidad para  saldos dentro del periodo de aplicación  (05/abr/2021 -"&amp;" 31/ago/2021)")</f>
        <v>AICI202006-14-1| Proponer que las diferencias presentadas en los IBC por los tiempos en la liquidación y reconocimiento de la incapacidad, cuenten con un margen de conciliación con contabilidad para  saldos dentro del periodo de aplicación  (05/abr/2021 - 31/ago/2021)</v>
      </c>
      <c r="E164" s="0" t="str">
        <f aca="false">IFERROR(__xludf.dummyfunction("""COMPUTED_VALUE"""),"El manejo de los excedentes o déficit, corresponde al área financiera, por esta razón se solicito mediante oficio radicado 20223300012483 del 03-05-2022 a la Dirección financiera, sin tener respuesta.")</f>
        <v>El manejo de los excedentes o déficit, corresponde al área financiera, por esta razón se solicito mediante oficio radicado 20223300012483 del 03-05-2022 a la Dirección financiera, sin tener respuesta.</v>
      </c>
      <c r="F164" s="0" t="str">
        <f aca="false">IFERROR(__xludf.dummyfunction("""COMPUTED_VALUE"""),"Atrasado")</f>
        <v>Atrasado</v>
      </c>
    </row>
    <row r="165" customFormat="false" ht="14.25" hidden="false" customHeight="false" outlineLevel="0" collapsed="false">
      <c r="A165" s="18" t="str">
        <f aca="false">IFERROR(MID(D165,1,FIND("|",D165)-1)&amp;"-"&amp;C165,"")</f>
        <v>AICI202006-18-1-6</v>
      </c>
      <c r="B165" s="19" t="n">
        <f aca="false">IFERROR(__xludf.dummyfunction("""COMPUTED_VALUE"""),44838)</f>
        <v>44838</v>
      </c>
      <c r="C165" s="0" t="n">
        <f aca="false">IFERROR(__xludf.dummyfunction("""COMPUTED_VALUE"""),6)</f>
        <v>6</v>
      </c>
      <c r="D165" s="0" t="str">
        <f aca="false">IFERROR(__xludf.dummyfunction("""COMPUTED_VALUE"""),"AICI202006-18-1| Realizar las fichas de saneamiento fiscal que sean necesarias con el concepto juridico con relación a las vigencias que prescriben. (05/abr/2021 - 30/nov/2021)")</f>
        <v>AICI202006-18-1| Realizar las fichas de saneamiento fiscal que sean necesarias con el concepto juridico con relación a las vigencias que prescriben. (05/abr/2021 - 30/nov/2021)</v>
      </c>
      <c r="E165" s="0" t="str">
        <f aca="false">IFERROR(__xludf.dummyfunction("""COMPUTED_VALUE"""),"El día 7 de julio se recibió el concepto por parte de la Oficina Jurídica respecto a la prescripción de las incapacidades correspondiente a las EPS liquidadas como Cafesalud, Coomeva EPS, Seguros Bolívar y Colfondos. Con este concepto se revisara de forma"&amp;" conjunta con el área contable para verificar la documentación completa para posteriormente presentarla en comité de saneamiento contable.")</f>
        <v>El día 7 de julio se recibió el concepto por parte de la Oficina Jurídica respecto a la prescripción de las incapacidades correspondiente a las EPS liquidadas como Cafesalud, Coomeva EPS, Seguros Bolívar y Colfondos. Con este concepto se revisara de forma conjunta con el área contable para verificar la documentación completa para posteriormente presentarla en comité de saneamiento contable.</v>
      </c>
      <c r="F165" s="0" t="str">
        <f aca="false">IFERROR(__xludf.dummyfunction("""COMPUTED_VALUE"""),"Completo")</f>
        <v>Completo</v>
      </c>
    </row>
    <row r="166" customFormat="false" ht="14.25" hidden="false" customHeight="false" outlineLevel="0" collapsed="false">
      <c r="A166" s="18" t="str">
        <f aca="false">IFERROR(MID(D166,1,FIND("|",D166)-1)&amp;"-"&amp;C166,"")</f>
        <v>AICI202006-19-1-6</v>
      </c>
      <c r="B166" s="19" t="n">
        <f aca="false">IFERROR(__xludf.dummyfunction("""COMPUTED_VALUE"""),44838)</f>
        <v>44838</v>
      </c>
      <c r="C166" s="0" t="n">
        <f aca="false">IFERROR(__xludf.dummyfunction("""COMPUTED_VALUE"""),6)</f>
        <v>6</v>
      </c>
      <c r="D166" s="0" t="str">
        <f aca="false">IFERROR(__xludf.dummyfunction("""COMPUTED_VALUE"""),"AICI202006-19-1| Actualizar el instructivo de Incapacidades  AP-TH-I-24-02 e incluir en el mismo, el trámite y manejo de incapacidades de mas de 180 dias y  solicitar al área de Calidad su normalización. (05/abr/2021 - 30/ago/2021)")</f>
        <v>AICI202006-19-1| Actualizar el instructivo de Incapacidades  AP-TH-I-24-02 e incluir en el mismo, el trámite y manejo de incapacidades de mas de 180 dias y  solicitar al área de Calidad su normalización. (05/abr/2021 - 30/ago/2021)</v>
      </c>
      <c r="E166" s="0" t="str">
        <f aca="false">IFERROR(__xludf.dummyfunction("""COMPUTED_VALUE"""),"Se informa que se encuentra en la Intranet el instructivo de Incapacidades normalizado AP-TH-I-24-03 16/09/2021. Al revisar el instructivo se describe que a partir del día 181, la Administradora del Fondo de Pensiones, será la encargada del reconocimiento"&amp;"""&amp;"" del auxilio por enfermedad. no se menciona otro procedimiento asociado a la Subred con relación a este ítem.""")</f>
        <v>Se informa que se encuentra en la Intranet el instructivo de Incapacidades normalizado AP-TH-I-24-03 16/09/2021. Al revisar el instructivo se describe que a partir del día 181, la Administradora del Fondo de Pensiones, será la encargada del reconocimiento"&amp;" del auxilio por enfermedad. no se menciona otro procedimiento asociado a la Subred con relación a este ítem."</v>
      </c>
      <c r="F166" s="0" t="str">
        <f aca="false">IFERROR(__xludf.dummyfunction("""COMPUTED_VALUE"""),"Completo")</f>
        <v>Completo</v>
      </c>
      <c r="G166" s="0" t="str">
        <f aca="false">IFERROR(__xludf.dummyfunction("""COMPUTED_VALUE"""),"Sí")</f>
        <v>Sí</v>
      </c>
    </row>
    <row r="167" customFormat="false" ht="14.25" hidden="false" customHeight="false" outlineLevel="0" collapsed="false">
      <c r="A167" s="18" t="str">
        <f aca="false">IFERROR(MID(D167,1,FIND("|",D167)-1)&amp;"-"&amp;C167,"")</f>
        <v>AICI202006-19-2-6</v>
      </c>
      <c r="B167" s="19" t="n">
        <f aca="false">IFERROR(__xludf.dummyfunction("""COMPUTED_VALUE"""),44838)</f>
        <v>44838</v>
      </c>
      <c r="C167" s="0" t="n">
        <f aca="false">IFERROR(__xludf.dummyfunction("""COMPUTED_VALUE"""),6)</f>
        <v>6</v>
      </c>
      <c r="D167" s="0" t="str">
        <f aca="false">IFERROR(__xludf.dummyfunction("""COMPUTED_VALUE"""),"AICI202006-19-2| Establecer con los abogados del área un protocolo  y con el apoyo de la oficina Jurídica de la entidad, los parámetros  para proceder, en los futuros casos de situaciones de cobro de incapacidades de más de 180 días a los funcionarios. (0"&amp;"5/abr/2021 - 30/ago/2021)")</f>
        <v>AICI202006-19-2| Establecer con los abogados del área un protocolo  y con el apoyo de la oficina Jurídica de la entidad, los parámetros  para proceder, en los futuros casos de situaciones de cobro de incapacidades de más de 180 días a los funcionarios. (05/abr/2021 - 30/ago/2021)</v>
      </c>
      <c r="E167" s="0" t="str">
        <f aca="false">IFERROR(__xludf.dummyfunction("""COMPUTED_VALUE"""),"Se informa que se encuentra en la Intranet el instructivo de Incapacidades normalizado AP-TH-I-24-03 16/09/2021. Al revisar el instructivo se describe que a partir del día 181, la Administradora del Fondo de Pensiones, será la encargada del reconocimiento"&amp;"""&amp;"" del auxilio por enfermedad. no se menciona otro procedimiento asociado a la Subred con relación a este ítem.""")</f>
        <v>Se informa que se encuentra en la Intranet el instructivo de Incapacidades normalizado AP-TH-I-24-03 16/09/2021. Al revisar el instructivo se describe que a partir del día 181, la Administradora del Fondo de Pensiones, será la encargada del reconocimiento"&amp;" del auxilio por enfermedad. no se menciona otro procedimiento asociado a la Subred con relación a este ítem."</v>
      </c>
      <c r="F167" s="0" t="str">
        <f aca="false">IFERROR(__xludf.dummyfunction("""COMPUTED_VALUE"""),"Completo")</f>
        <v>Completo</v>
      </c>
      <c r="G167" s="0" t="str">
        <f aca="false">IFERROR(__xludf.dummyfunction("""COMPUTED_VALUE"""),"Sí")</f>
        <v>Sí</v>
      </c>
    </row>
    <row r="168" customFormat="false" ht="14.25" hidden="false" customHeight="false" outlineLevel="0" collapsed="false">
      <c r="A168" s="18" t="str">
        <f aca="false">IFERROR(MID(D168,1,FIND("|",D168)-1)&amp;"-"&amp;C168,"")</f>
        <v>AICI202006-19-3-6</v>
      </c>
      <c r="B168" s="19" t="n">
        <f aca="false">IFERROR(__xludf.dummyfunction("""COMPUTED_VALUE"""),44838)</f>
        <v>44838</v>
      </c>
      <c r="C168" s="0" t="n">
        <f aca="false">IFERROR(__xludf.dummyfunction("""COMPUTED_VALUE"""),6)</f>
        <v>6</v>
      </c>
      <c r="D168" s="0" t="str">
        <f aca="false">IFERROR(__xludf.dummyfunction("""COMPUTED_VALUE"""),"AICI202006-19-3| Adelantar  los procesos legales correspondientes en cada uno de los casos vigentes referidos en el informe  en el numeral 8,3, trámite a realizar con los abogados del área con el apoyo de la oficina jurídica de la entidad.  (05/abr/2021 -"&amp;" 30/ago/2021)")</f>
        <v>AICI202006-19-3| Adelantar  los procesos legales correspondientes en cada uno de los casos vigentes referidos en el informe  en el numeral 8,3, trámite a realizar con los abogados del área con el apoyo de la oficina jurídica de la entidad.  (05/abr/2021 - 30/ago/2021)</v>
      </c>
      <c r="E168" s="0" t="str">
        <f aca="false">IFERROR(__xludf.dummyfunction("""COMPUTED_VALUE"""),"Se informa que se encuentra en la Intranet el instructivo de Incapacidades normalizado AP-TH-I-24-03 16/09/2021. Al revisar el instructivo se describe que a partir del día 181, la Administradora del Fondo de Pensiones, será la encargada del reconocimiento"&amp;"""&amp;"" del auxilio por enfermedad. no se menciona otro procedimiento asociado a la Subred con relación a este item.""")</f>
        <v>Se informa que se encuentra en la Intranet el instructivo de Incapacidades normalizado AP-TH-I-24-03 16/09/2021. Al revisar el instructivo se describe que a partir del día 181, la Administradora del Fondo de Pensiones, será la encargada del reconocimiento"&amp;" del auxilio por enfermedad. no se menciona otro procedimiento asociado a la Subred con relación a este item."</v>
      </c>
      <c r="F168" s="0" t="str">
        <f aca="false">IFERROR(__xludf.dummyfunction("""COMPUTED_VALUE"""),"Completo")</f>
        <v>Completo</v>
      </c>
      <c r="G168" s="0" t="str">
        <f aca="false">IFERROR(__xludf.dummyfunction("""COMPUTED_VALUE"""),"Sí")</f>
        <v>Sí</v>
      </c>
    </row>
    <row r="169" customFormat="false" ht="14.25" hidden="false" customHeight="false" outlineLevel="0" collapsed="false">
      <c r="A169" s="18" t="str">
        <f aca="false">IFERROR(MID(D169,1,FIND("|",D169)-1)&amp;"-"&amp;C169,"")</f>
        <v>AICI202006-20-1-6</v>
      </c>
      <c r="B169" s="19" t="n">
        <f aca="false">IFERROR(__xludf.dummyfunction("""COMPUTED_VALUE"""),44838)</f>
        <v>44838</v>
      </c>
      <c r="C169" s="0" t="n">
        <f aca="false">IFERROR(__xludf.dummyfunction("""COMPUTED_VALUE"""),6)</f>
        <v>6</v>
      </c>
      <c r="D169" s="0" t="str">
        <f aca="false">IFERROR(__xludf.dummyfunction("""COMPUTED_VALUE"""),"AICI202006-20-1| Requerir a Colpensiones y  subsanar el hallazgo,  (05/abr/2021 - 30/ago/2021)")</f>
        <v>AICI202006-20-1| Requerir a Colpensiones y  subsanar el hallazgo,  (05/abr/2021 - 30/ago/2021)</v>
      </c>
      <c r="E169" s="0" t="str">
        <f aca="false">IFERROR(__xludf.dummyfunction("""COMPUTED_VALUE"""),"Se realiza cobro persuasivo el 02 de2022 a la ex funcionaria Sra. Montaña.")</f>
        <v>Se realiza cobro persuasivo el 02 de2022 a la ex funcionaria Sra. Montaña.</v>
      </c>
      <c r="F169" s="0" t="str">
        <f aca="false">IFERROR(__xludf.dummyfunction("""COMPUTED_VALUE"""),"Atrasado")</f>
        <v>Atrasado</v>
      </c>
    </row>
    <row r="170" customFormat="false" ht="14.25" hidden="false" customHeight="false" outlineLevel="0" collapsed="false">
      <c r="A170" s="18" t="str">
        <f aca="false">IFERROR(MID(D170,1,FIND("|",D170)-1)&amp;"-"&amp;C170,"")</f>
        <v>AICI202006-20-2-6</v>
      </c>
      <c r="B170" s="19" t="n">
        <f aca="false">IFERROR(__xludf.dummyfunction("""COMPUTED_VALUE"""),44838)</f>
        <v>44838</v>
      </c>
      <c r="C170" s="0" t="n">
        <f aca="false">IFERROR(__xludf.dummyfunction("""COMPUTED_VALUE"""),6)</f>
        <v>6</v>
      </c>
      <c r="D170" s="0" t="str">
        <f aca="false">IFERROR(__xludf.dummyfunction("""COMPUTED_VALUE"""),"AICI202006-20-2| Solicitar los abogados del área y con el apoyo de la oficina Jurídica de la Subre Norte, realizar un documento con el fin de establecer parámetros y proceder en los futuros casos que se presenten (05/abr/2021 - 30/ago/2021)")</f>
        <v>AICI202006-20-2| Solicitar los abogados del área y con el apoyo de la oficina Jurídica de la Subre Norte, realizar un documento con el fin de establecer parámetros y proceder en los futuros casos que se presenten (05/abr/2021 - 30/ago/2021)</v>
      </c>
      <c r="E170" s="0" t="str">
        <f aca="false">IFERROR(__xludf.dummyfunction("""COMPUTED_VALUE"""),"Se realiza cobro persuasivo el 02 de2022 a la ex funcionaria Sra. Montaña.")</f>
        <v>Se realiza cobro persuasivo el 02 de2022 a la ex funcionaria Sra. Montaña.</v>
      </c>
      <c r="F170" s="0" t="str">
        <f aca="false">IFERROR(__xludf.dummyfunction("""COMPUTED_VALUE"""),"Atrasado")</f>
        <v>Atrasado</v>
      </c>
    </row>
    <row r="171" customFormat="false" ht="14.25" hidden="false" customHeight="false" outlineLevel="0" collapsed="false">
      <c r="A171" s="18" t="str">
        <f aca="false">IFERROR(MID(D171,1,FIND("|",D171)-1)&amp;"-"&amp;C171,"")</f>
        <v>AICI202006-20-3-6</v>
      </c>
      <c r="B171" s="19" t="n">
        <f aca="false">IFERROR(__xludf.dummyfunction("""COMPUTED_VALUE"""),44838)</f>
        <v>44838</v>
      </c>
      <c r="C171" s="0" t="n">
        <f aca="false">IFERROR(__xludf.dummyfunction("""COMPUTED_VALUE"""),6)</f>
        <v>6</v>
      </c>
      <c r="D171" s="0" t="str">
        <f aca="false">IFERROR(__xludf.dummyfunction("""COMPUTED_VALUE"""),"AICI202006-20-3| Realizar  las actuaciones jurídicas que correspondan en torno al caso de la Sra. Gloria inés Montaña. (05/abr/2021 - 30/ago/2021)")</f>
        <v>AICI202006-20-3| Realizar  las actuaciones jurídicas que correspondan en torno al caso de la Sra. Gloria inés Montaña. (05/abr/2021 - 30/ago/2021)</v>
      </c>
      <c r="E171" s="0" t="str">
        <f aca="false">IFERROR(__xludf.dummyfunction("""COMPUTED_VALUE"""),"Se realiza cobro persuasivo el 02 de2022 a la ex funcionaria Sra. Montaña.")</f>
        <v>Se realiza cobro persuasivo el 02 de2022 a la ex funcionaria Sra. Montaña.</v>
      </c>
      <c r="F171" s="0" t="str">
        <f aca="false">IFERROR(__xludf.dummyfunction("""COMPUTED_VALUE"""),"Atrasado")</f>
        <v>Atrasado</v>
      </c>
    </row>
    <row r="172" customFormat="false" ht="14.25" hidden="false" customHeight="false" outlineLevel="0" collapsed="false">
      <c r="A172" s="18" t="str">
        <f aca="false">IFERROR(MID(D172,1,FIND("|",D172)-1)&amp;"-"&amp;C172,"")</f>
        <v>AICI202006-5-1-6</v>
      </c>
      <c r="B172" s="19" t="n">
        <f aca="false">IFERROR(__xludf.dummyfunction("""COMPUTED_VALUE"""),-692952)</f>
        <v>-692952</v>
      </c>
      <c r="C172" s="0" t="n">
        <f aca="false">IFERROR(__xludf.dummyfunction("""COMPUTED_VALUE"""),6)</f>
        <v>6</v>
      </c>
      <c r="D172" s="0" t="str">
        <f aca="false">IFERROR(__xludf.dummyfunction("""COMPUTED_VALUE"""),"AICI202006-5-1| Realizar análisis cuidadoso de los riesgos que pueden presentarse en la ejecución del procedimiento de incapacidades, así como de las no conformidades evidenciadas en el informe de auditoría, con los directos implicados en el tema de incap"&amp;"acidades. (05/abr/2021 - 30/nov/2021)")</f>
        <v>AICI202006-5-1| Realizar análisis cuidadoso de los riesgos que pueden presentarse en la ejecución del procedimiento de incapacidades, así como de las no conformidades evidenciadas en el informe de auditoría, con los directos implicados en el tema de incapacidades. (05/abr/2021 - 30/nov/2021)</v>
      </c>
      <c r="E172" s="0" t="str">
        <f aca="false">IFERROR(__xludf.dummyfunction("""COMPUTED_VALUE"""),"No se evidencia un análisis de riesgos del proceso, no se presenta soportes para actualización del mapa de riesgos")</f>
        <v>No se evidencia un análisis de riesgos del proceso, no se presenta soportes para actualización del mapa de riesgos</v>
      </c>
      <c r="F172" s="0" t="str">
        <f aca="false">IFERROR(__xludf.dummyfunction("""COMPUTED_VALUE"""),"Atrasado")</f>
        <v>Atrasado</v>
      </c>
    </row>
    <row r="173" customFormat="false" ht="14.25" hidden="false" customHeight="false" outlineLevel="0" collapsed="false">
      <c r="A173" s="18" t="str">
        <f aca="false">IFERROR(MID(D173,1,FIND("|",D173)-1)&amp;"-"&amp;C173,"")</f>
        <v>AICI202006-18-2-6</v>
      </c>
      <c r="B173" s="19" t="n">
        <f aca="false">IFERROR(__xludf.dummyfunction("""COMPUTED_VALUE"""),44838)</f>
        <v>44838</v>
      </c>
      <c r="C173" s="0" t="n">
        <f aca="false">IFERROR(__xludf.dummyfunction("""COMPUTED_VALUE"""),6)</f>
        <v>6</v>
      </c>
      <c r="D173" s="0" t="str">
        <f aca="false">IFERROR(__xludf.dummyfunction("""COMPUTED_VALUE"""),"AICI202006-18-2| Conciliar y depurar con contabilidad,  valores reconocidos por las EPS correspondiente a la vigencia  2017 (05/abr/2021 - 30/nov/2021)")</f>
        <v>AICI202006-18-2| Conciliar y depurar con contabilidad,  valores reconocidos por las EPS correspondiente a la vigencia  2017 (05/abr/2021 - 30/nov/2021)</v>
      </c>
      <c r="E173" s="0" t="str">
        <f aca="false">IFERROR(__xludf.dummyfunction("""COMPUTED_VALUE"""),"a acción inicial que involucraba la implementación de INCAX fue cambiada por solicitud oficial en orfeo realizada por Talento Humano, debido a que la misma no pudo ser adelantada por terminación del contrato encargado de INCAX. Dicho cambio fue consensuad"&amp;"o por la Oficina de Control Interno.Se envío scanner de las conciliaciones con contabilidad de la presente vigencia año 2021 de enero a agosto - adicionalmente acta de las reuniones con la Gerencia - el asesor jurídico y los funcionarios y ex funcionarios"&amp;" que realizaron acuerdo de pago (relativo a incapacidades superiores a 180 días:  Rodrigo Pimentel, Jorge Eliecer Sánchez, Oscar Prado, Sandra Santana, Oficio solicitud jurídica caso Gloria Montaña)")</f>
        <v>a acción inicial que involucraba la implementación de INCAX fue cambiada por solicitud oficial en orfeo realizada por Talento Humano, debido a que la misma no pudo ser adelantada por terminación del contrato encargado de INCAX. Dicho cambio fue consensuado por la Oficina de Control Interno.Se envío scanner de las conciliaciones con contabilidad de la presente vigencia año 2021 de enero a agosto - adicionalmente acta de las reuniones con la Gerencia - el asesor jurídico y los funcionarios y ex funcionarios que realizaron acuerdo de pago (relativo a incapacidades superiores a 180 días:  Rodrigo Pimentel, Jorge Eliecer Sánchez, Oscar Prado, Sandra Santana, Oficio solicitud jurídica caso Gloria Montaña)</v>
      </c>
      <c r="F173" s="0" t="str">
        <f aca="false">IFERROR(__xludf.dummyfunction("""COMPUTED_VALUE"""),"Completo")</f>
        <v>Completo</v>
      </c>
      <c r="G173" s="0" t="str">
        <f aca="false">IFERROR(__xludf.dummyfunction("""COMPUTED_VALUE"""),"Sí")</f>
        <v>Sí</v>
      </c>
    </row>
    <row r="174" customFormat="false" ht="14.25" hidden="false" customHeight="false" outlineLevel="0" collapsed="false">
      <c r="A174" s="18" t="str">
        <f aca="false">IFERROR(MID(D174,1,FIND("|",D174)-1)&amp;"-"&amp;C174,"")</f>
        <v>AICI202006-14-1-x</v>
      </c>
      <c r="B174" s="19" t="n">
        <f aca="false">IFERROR(__xludf.dummyfunction("""COMPUTED_VALUE"""),44937)</f>
        <v>44937</v>
      </c>
      <c r="C174" s="0" t="str">
        <f aca="false">IFERROR(__xludf.dummyfunction("""COMPUTED_VALUE"""),"x")</f>
        <v>x</v>
      </c>
      <c r="D174" s="0" t="str">
        <f aca="false">IFERROR(__xludf.dummyfunction("""COMPUTED_VALUE"""),"AICI202006-14-1| Proponer que las diferencias presentadas en los IBC por los tiempos en la liquidación y reconocimiento de la incapacidad, cuenten con un margen de conciliación con contabilidad para  saldos dentro del periodo de aplicación  (05/abr/2021 -"&amp;" 31/ago/2021)")</f>
        <v>AICI202006-14-1| Proponer que las diferencias presentadas en los IBC por los tiempos en la liquidación y reconocimiento de la incapacidad, cuenten con un margen de conciliación con contabilidad para  saldos dentro del periodo de aplicación  (05/abr/2021 - 31/ago/2021)</v>
      </c>
      <c r="E174" s="0" t="str">
        <f aca="false">IFERROR(__xludf.dummyfunction("""COMPUTED_VALUE"""),"Mediante correo instruccional de fecha de 11 de enero de 2023 se reitero a la Dirección Operativa de Talento Humano el no recibimiento de los soportes y avances correspondientes a las actividades registradas en le plan de mejoramiento de incapacidades de "&amp;"la vigencia 2020.")</f>
        <v>Mediante correo instruccional de fecha de 11 de enero de 2023 se reitero a la Dirección Operativa de Talento Humano el no recibimiento de los soportes y avances correspondientes a las actividades registradas en le plan de mejoramiento de incapacidades de la vigencia 2020.</v>
      </c>
      <c r="F174" s="0" t="str">
        <f aca="false">IFERROR(__xludf.dummyfunction("""COMPUTED_VALUE"""),"Atrasado")</f>
        <v>Atrasado</v>
      </c>
    </row>
    <row r="175" customFormat="false" ht="14.25" hidden="false" customHeight="false" outlineLevel="0" collapsed="false">
      <c r="A175" s="18" t="str">
        <f aca="false">IFERROR(MID(D175,1,FIND("|",D175)-1)&amp;"-"&amp;C175,"")</f>
        <v>AICI202006-20-1-7</v>
      </c>
      <c r="B175" s="19" t="n">
        <f aca="false">IFERROR(__xludf.dummyfunction("""COMPUTED_VALUE"""),44937)</f>
        <v>44937</v>
      </c>
      <c r="C175" s="0" t="n">
        <f aca="false">IFERROR(__xludf.dummyfunction("""COMPUTED_VALUE"""),7)</f>
        <v>7</v>
      </c>
      <c r="D175" s="0" t="str">
        <f aca="false">IFERROR(__xludf.dummyfunction("""COMPUTED_VALUE"""),"AICI202006-20-1| Requerir a Colpensiones y  subsanar el hallazgo,  (05/abr/2021 - 30/ago/2021)")</f>
        <v>AICI202006-20-1| Requerir a Colpensiones y  subsanar el hallazgo,  (05/abr/2021 - 30/ago/2021)</v>
      </c>
      <c r="E175" s="0" t="str">
        <f aca="false">IFERROR(__xludf.dummyfunction("""COMPUTED_VALUE"""),"Mediante correo instruccional de fecha de 11 de enero de 2023 se reitero a la Dirección Operativa de Talento Humano el no recibimiento de los soportes y avances correspondientes a las actividades registradas en le plan de mejoramiento de incapacidades de "&amp;"la vigencia 2020.")</f>
        <v>Mediante correo instruccional de fecha de 11 de enero de 2023 se reitero a la Dirección Operativa de Talento Humano el no recibimiento de los soportes y avances correspondientes a las actividades registradas en le plan de mejoramiento de incapacidades de la vigencia 2020.</v>
      </c>
      <c r="F175" s="0" t="str">
        <f aca="false">IFERROR(__xludf.dummyfunction("""COMPUTED_VALUE"""),"Atrasado")</f>
        <v>Atrasado</v>
      </c>
    </row>
    <row r="176" customFormat="false" ht="14.25" hidden="false" customHeight="false" outlineLevel="0" collapsed="false">
      <c r="A176" s="18" t="str">
        <f aca="false">IFERROR(MID(D176,1,FIND("|",D176)-1)&amp;"-"&amp;C176,"")</f>
        <v>AICI202006-20-2-x</v>
      </c>
      <c r="B176" s="19" t="n">
        <f aca="false">IFERROR(__xludf.dummyfunction("""COMPUTED_VALUE"""),44937)</f>
        <v>44937</v>
      </c>
      <c r="C176" s="0" t="str">
        <f aca="false">IFERROR(__xludf.dummyfunction("""COMPUTED_VALUE"""),"x")</f>
        <v>x</v>
      </c>
      <c r="D176" s="0" t="str">
        <f aca="false">IFERROR(__xludf.dummyfunction("""COMPUTED_VALUE"""),"AICI202006-20-2| Solicitar los abogados del área y con el apoyo de la oficina Jurídica de la Subre Norte, realizar un documento con el fin de establecer parámetros y proceder en los futuros casos que se presenten (05/abr/2021 - 30/ago/2021)")</f>
        <v>AICI202006-20-2| Solicitar los abogados del área y con el apoyo de la oficina Jurídica de la Subre Norte, realizar un documento con el fin de establecer parámetros y proceder en los futuros casos que se presenten (05/abr/2021 - 30/ago/2021)</v>
      </c>
      <c r="E176" s="0" t="str">
        <f aca="false">IFERROR(__xludf.dummyfunction("""COMPUTED_VALUE"""),"Mediante correo instruccional de fecha de 11 de enero de 2023 se reitero a la Dirección Operativa de Talento Humano el no recibimiento de los soportes y avances correspondientes a las actividades registradas en le plan de mejoramiento de incapacidades de "&amp;"la vigencia 2020.")</f>
        <v>Mediante correo instruccional de fecha de 11 de enero de 2023 se reitero a la Dirección Operativa de Talento Humano el no recibimiento de los soportes y avances correspondientes a las actividades registradas en le plan de mejoramiento de incapacidades de la vigencia 2020.</v>
      </c>
      <c r="F176" s="0" t="str">
        <f aca="false">IFERROR(__xludf.dummyfunction("""COMPUTED_VALUE"""),"Atrasado")</f>
        <v>Atrasado</v>
      </c>
    </row>
    <row r="177" customFormat="false" ht="14.25" hidden="false" customHeight="false" outlineLevel="0" collapsed="false">
      <c r="A177" s="18" t="str">
        <f aca="false">IFERROR(MID(D177,1,FIND("|",D177)-1)&amp;"-"&amp;C177,"")</f>
        <v>AICI202006-20-3-x</v>
      </c>
      <c r="B177" s="19" t="n">
        <f aca="false">IFERROR(__xludf.dummyfunction("""COMPUTED_VALUE"""),44937)</f>
        <v>44937</v>
      </c>
      <c r="C177" s="0" t="str">
        <f aca="false">IFERROR(__xludf.dummyfunction("""COMPUTED_VALUE"""),"x")</f>
        <v>x</v>
      </c>
      <c r="D177" s="0" t="str">
        <f aca="false">IFERROR(__xludf.dummyfunction("""COMPUTED_VALUE"""),"AICI202006-20-3| Realizar  las actuaciones jurídicas que correspondan en torno al caso de la Sra. Gloria inés Montaña. (05/abr/2021 - 30/ago/2021)")</f>
        <v>AICI202006-20-3| Realizar  las actuaciones jurídicas que correspondan en torno al caso de la Sra. Gloria inés Montaña. (05/abr/2021 - 30/ago/2021)</v>
      </c>
      <c r="E177" s="0" t="str">
        <f aca="false">IFERROR(__xludf.dummyfunction("""COMPUTED_VALUE"""),"Mediante correo instruccional de fecha de 11 de enero de 2023 se reitero a la Dirección Operativa de Talento Humano el no recibimiento de los soportes y avances correspondientes a las actividades registradas en le plan de mejoramiento de incapacidades de "&amp;"la vigencia 2020.")</f>
        <v>Mediante correo instruccional de fecha de 11 de enero de 2023 se reitero a la Dirección Operativa de Talento Humano el no recibimiento de los soportes y avances correspondientes a las actividades registradas en le plan de mejoramiento de incapacidades de la vigencia 2020.</v>
      </c>
      <c r="F177" s="0" t="str">
        <f aca="false">IFERROR(__xludf.dummyfunction("""COMPUTED_VALUE"""),"Atrasado")</f>
        <v>Atrasado</v>
      </c>
    </row>
    <row r="178" customFormat="false" ht="14.25" hidden="false" customHeight="false" outlineLevel="0" collapsed="false">
      <c r="A178" s="18" t="str">
        <f aca="false">IFERROR(MID(D178,1,FIND("|",D178)-1)&amp;"-"&amp;C178,"")</f>
        <v>AICI202006-5-1-7</v>
      </c>
      <c r="B178" s="19" t="n">
        <f aca="false">IFERROR(__xludf.dummyfunction("""COMPUTED_VALUE"""),44937)</f>
        <v>44937</v>
      </c>
      <c r="C178" s="0" t="n">
        <f aca="false">IFERROR(__xludf.dummyfunction("""COMPUTED_VALUE"""),7)</f>
        <v>7</v>
      </c>
      <c r="D178" s="0" t="str">
        <f aca="false">IFERROR(__xludf.dummyfunction("""COMPUTED_VALUE"""),"AICI202006-5-1| Realizar análisis cuidadoso de los riesgos que pueden presentarse en la ejecución del procedimiento de incapacidades, así como de las no conformidades evidenciadas en el informe de auditoría, con los directos implicados en el tema de incap"&amp;"acidades. (05/abr/2021 - 30/nov/2021)")</f>
        <v>AICI202006-5-1| Realizar análisis cuidadoso de los riesgos que pueden presentarse en la ejecución del procedimiento de incapacidades, así como de las no conformidades evidenciadas en el informe de auditoría, con los directos implicados en el tema de incapacidades. (05/abr/2021 - 30/nov/2021)</v>
      </c>
      <c r="E178" s="0" t="str">
        <f aca="false">IFERROR(__xludf.dummyfunction("""COMPUTED_VALUE"""),"Mediante correo instruccional de fecha de 11 de enero de 2023 se reitero a la Dirección Operativa de Talento Humano el no recibimiento de los soportes y avances correspondientes a las actividades registradas en le plan de mejoramiento de incapacidades de "&amp;"la vigencia 2020.")</f>
        <v>Mediante correo instruccional de fecha de 11 de enero de 2023 se reitero a la Dirección Operativa de Talento Humano el no recibimiento de los soportes y avances correspondientes a las actividades registradas en le plan de mejoramiento de incapacidades de la vigencia 2020.</v>
      </c>
      <c r="F178" s="0" t="str">
        <f aca="false">IFERROR(__xludf.dummyfunction("""COMPUTED_VALUE"""),"Atrasado")</f>
        <v>Atrasado</v>
      </c>
    </row>
    <row r="179" customFormat="false" ht="14.25" hidden="false" customHeight="false" outlineLevel="0" collapsed="false">
      <c r="A179" s="18" t="str">
        <f aca="false">IFERROR(MID(D179,1,FIND("|",D179)-1)&amp;"-"&amp;C179,"")</f>
        <v>AICI202006-5-3-6</v>
      </c>
      <c r="B179" s="19" t="n">
        <f aca="false">IFERROR(__xludf.dummyfunction("""COMPUTED_VALUE"""),44937)</f>
        <v>44937</v>
      </c>
      <c r="C179" s="0" t="n">
        <f aca="false">IFERROR(__xludf.dummyfunction("""COMPUTED_VALUE"""),6)</f>
        <v>6</v>
      </c>
      <c r="D179" s="0" t="str">
        <f aca="false">IFERROR(__xludf.dummyfunction("""COMPUTED_VALUE"""),"AICI202006-5-3| Realizar reuiniones con los abogados del área de Talento Humano para la idenficación de los riesgos jurídicos. (05/abr/2021 - 30/nov/2021)")</f>
        <v>AICI202006-5-3| Realizar reuiniones con los abogados del área de Talento Humano para la idenficación de los riesgos jurídicos. (05/abr/2021 - 30/nov/2021)</v>
      </c>
      <c r="E179" s="0" t="str">
        <f aca="false">IFERROR(__xludf.dummyfunction("""COMPUTED_VALUE"""),"Mediante correo instruccional de fecha de 11 de enero de 2023 se reitero a la Dirección Operativa de Talento Humano el no recibimiento de los soportes y avances correspondientes a las actividades registradas en le plan de mejoramiento de incapacidades de "&amp;"la vigencia 2020.")</f>
        <v>Mediante correo instruccional de fecha de 11 de enero de 2023 se reitero a la Dirección Operativa de Talento Humano el no recibimiento de los soportes y avances correspondientes a las actividades registradas en le plan de mejoramiento de incapacidades de la vigencia 2020.</v>
      </c>
      <c r="F179" s="0" t="str">
        <f aca="false">IFERROR(__xludf.dummyfunction("""COMPUTED_VALUE"""),"Atrasado")</f>
        <v>Atrasado</v>
      </c>
    </row>
    <row r="180" customFormat="false" ht="14.25" hidden="false" customHeight="false" outlineLevel="0" collapsed="false">
      <c r="A180" s="18" t="str">
        <f aca="false">IFERROR(MID(D180,1,FIND("|",D180)-1)&amp;"-"&amp;C180,"")</f>
        <v>AICI202006-5-1-x</v>
      </c>
      <c r="B180" s="19" t="n">
        <f aca="false">IFERROR(__xludf.dummyfunction("""COMPUTED_VALUE"""),45034)</f>
        <v>45034</v>
      </c>
      <c r="C180" s="0" t="str">
        <f aca="false">IFERROR(__xludf.dummyfunction("""COMPUTED_VALUE"""),"x")</f>
        <v>x</v>
      </c>
      <c r="D180" s="0" t="str">
        <f aca="false">IFERROR(__xludf.dummyfunction("""COMPUTED_VALUE"""),"AICI202006-5-1| Realizar análisis cuidadoso de los riesgos que pueden presentarse en la ejecución del procedimiento de incapacidades, así como de las no conformidades evidenciadas en el informe de auditoría, con los directos implicados en el tema de incap"&amp;"acidades. (05/abr/2021 - 30/nov/2021)")</f>
        <v>AICI202006-5-1| Realizar análisis cuidadoso de los riesgos que pueden presentarse en la ejecución del procedimiento de incapacidades, así como de las no conformidades evidenciadas en el informe de auditoría, con los directos implicados en el tema de incapacidades. (05/abr/2021 - 30/nov/2021)</v>
      </c>
      <c r="E180" s="0" t="str">
        <f aca="false">IFERROR(__xludf.dummyfunction("""COMPUTED_VALUE"""),"El área de talento humano realizó mapa de riesgos de la Dirección el cual se encuentra en revisión por parte de Desarrollo Institucional")</f>
        <v>El área de talento humano realizó mapa de riesgos de la Dirección el cual se encuentra en revisión por parte de Desarrollo Institucional</v>
      </c>
      <c r="F180" s="0" t="str">
        <f aca="false">IFERROR(__xludf.dummyfunction("""COMPUTED_VALUE"""),"Atrasado")</f>
        <v>Atrasado</v>
      </c>
    </row>
    <row r="181" customFormat="false" ht="14.25" hidden="false" customHeight="false" outlineLevel="0" collapsed="false">
      <c r="A181" s="18" t="str">
        <f aca="false">IFERROR(MID(D181,1,FIND("|",D181)-1)&amp;"-"&amp;C181,"")</f>
        <v>AICI202006-5-3-7</v>
      </c>
      <c r="B181" s="19" t="n">
        <f aca="false">IFERROR(__xludf.dummyfunction("""COMPUTED_VALUE"""),45034)</f>
        <v>45034</v>
      </c>
      <c r="C181" s="0" t="n">
        <f aca="false">IFERROR(__xludf.dummyfunction("""COMPUTED_VALUE"""),7)</f>
        <v>7</v>
      </c>
      <c r="D181" s="0" t="str">
        <f aca="false">IFERROR(__xludf.dummyfunction("""COMPUTED_VALUE"""),"AICI202006-5-3| Realizar reuiniones con los abogados del área de Talento Humano para la idenficación de los riesgos jurídicos. (05/abr/2021 - 30/nov/2021)")</f>
        <v>AICI202006-5-3| Realizar reuiniones con los abogados del área de Talento Humano para la idenficación de los riesgos jurídicos. (05/abr/2021 - 30/nov/2021)</v>
      </c>
      <c r="E181" s="0" t="str">
        <f aca="false">IFERROR(__xludf.dummyfunction("""COMPUTED_VALUE"""),"Talento Humano realizó el mapa de riesgos de la Dirección el cual se encuentra en revisión por parte de Desarrollo Institucional")</f>
        <v>Talento Humano realizó el mapa de riesgos de la Dirección el cual se encuentra en revisión por parte de Desarrollo Institucional</v>
      </c>
      <c r="F181" s="0" t="str">
        <f aca="false">IFERROR(__xludf.dummyfunction("""COMPUTED_VALUE"""),"Atrasado")</f>
        <v>Atrasado</v>
      </c>
    </row>
    <row r="182" customFormat="false" ht="14.25" hidden="false" customHeight="false" outlineLevel="0" collapsed="false">
      <c r="A182" s="18" t="str">
        <f aca="false">IFERROR(MID(D182,1,FIND("|",D182)-1)&amp;"-"&amp;C182,"")</f>
        <v>AICI202006-14-1-7</v>
      </c>
      <c r="B182" s="19" t="n">
        <f aca="false">IFERROR(__xludf.dummyfunction("""COMPUTED_VALUE"""),45034)</f>
        <v>45034</v>
      </c>
      <c r="C182" s="0" t="n">
        <f aca="false">IFERROR(__xludf.dummyfunction("""COMPUTED_VALUE"""),7)</f>
        <v>7</v>
      </c>
      <c r="D182" s="0" t="str">
        <f aca="false">IFERROR(__xludf.dummyfunction("""COMPUTED_VALUE"""),"AICI202006-14-1| Proponer que las diferencias presentadas en los IBC por los tiempos en la liquidación y reconocimiento de la incapacidad, cuenten con un margen de conciliación con contabilidad para  saldos dentro del periodo de aplicación  (05/abr/2021 -"&amp;" 31/ago/2021)")</f>
        <v>AICI202006-14-1| Proponer que las diferencias presentadas en los IBC por los tiempos en la liquidación y reconocimiento de la incapacidad, cuenten con un margen de conciliación con contabilidad para  saldos dentro del periodo de aplicación  (05/abr/2021 - 31/ago/2021)</v>
      </c>
      <c r="E182" s="0" t="str">
        <f aca="false">IFERROR(__xludf.dummyfunction("""COMPUTED_VALUE"""),"En diciembre de 2022 Talento Humano solicitó reunión con el área contable para revisar las diferencias en los valores pagados de incapacidades, la cual se encuentra en proceso de confirmación. Mediante correo electrónico del 27-03-2023 se propone nuevamen"&amp;"te mesa de trabajo para el día 19 de abril de 2023 y de acuerdo al comité de sostenibilidad en el plan de acción se incluye el tema de incapacidades para el proceso de depuración.")</f>
        <v>En diciembre de 2022 Talento Humano solicitó reunión con el área contable para revisar las diferencias en los valores pagados de incapacidades, la cual se encuentra en proceso de confirmación. Mediante correo electrónico del 27-03-2023 se propone nuevamente mesa de trabajo para el día 19 de abril de 2023 y de acuerdo al comité de sostenibilidad en el plan de acción se incluye el tema de incapacidades para el proceso de depuración.</v>
      </c>
      <c r="F182" s="0" t="str">
        <f aca="false">IFERROR(__xludf.dummyfunction("""COMPUTED_VALUE"""),"Atrasado")</f>
        <v>Atrasado</v>
      </c>
    </row>
    <row r="183" customFormat="false" ht="14.25" hidden="false" customHeight="false" outlineLevel="0" collapsed="false">
      <c r="A183" s="18" t="str">
        <f aca="false">IFERROR(MID(D183,1,FIND("|",D183)-1)&amp;"-"&amp;C183,"")</f>
        <v>AICI202006-20-1-7</v>
      </c>
      <c r="B183" s="19" t="n">
        <f aca="false">IFERROR(__xludf.dummyfunction("""COMPUTED_VALUE"""),45034)</f>
        <v>45034</v>
      </c>
      <c r="C183" s="0" t="n">
        <f aca="false">IFERROR(__xludf.dummyfunction("""COMPUTED_VALUE"""),7)</f>
        <v>7</v>
      </c>
      <c r="D183" s="0" t="str">
        <f aca="false">IFERROR(__xludf.dummyfunction("""COMPUTED_VALUE"""),"AICI202006-20-1| Requerir a Colpensiones y  subsanar el hallazgo,  (05/abr/2021 - 30/ago/2021)")</f>
        <v>AICI202006-20-1| Requerir a Colpensiones y  subsanar el hallazgo,  (05/abr/2021 - 30/ago/2021)</v>
      </c>
      <c r="E183" s="0" t="str">
        <f aca="false">IFERROR(__xludf.dummyfunction("""COMPUTED_VALUE"""),"Talento Humano elaboró un oficio a Colpensiones solicitando los pagos realizados por concepto de auxilio de incapacidad ")</f>
        <v>Talento Humano elaboró un oficio a Colpensiones solicitando los pagos realizados por concepto de auxilio de incapacidad </v>
      </c>
      <c r="F183" s="0" t="str">
        <f aca="false">IFERROR(__xludf.dummyfunction("""COMPUTED_VALUE"""),"Atrasado")</f>
        <v>Atrasado</v>
      </c>
    </row>
    <row r="184" customFormat="false" ht="14.25" hidden="false" customHeight="false" outlineLevel="0" collapsed="false">
      <c r="A184" s="18" t="str">
        <f aca="false">IFERROR(MID(D184,1,FIND("|",D184)-1)&amp;"-"&amp;C184,"")</f>
        <v>AICI202006-20-2-7</v>
      </c>
      <c r="B184" s="19" t="n">
        <f aca="false">IFERROR(__xludf.dummyfunction("""COMPUTED_VALUE"""),45034)</f>
        <v>45034</v>
      </c>
      <c r="C184" s="0" t="n">
        <f aca="false">IFERROR(__xludf.dummyfunction("""COMPUTED_VALUE"""),7)</f>
        <v>7</v>
      </c>
      <c r="D184" s="0" t="str">
        <f aca="false">IFERROR(__xludf.dummyfunction("""COMPUTED_VALUE"""),"AICI202006-20-2| Solicitar los abogados del área y con el apoyo de la oficina Jurídica de la Subre Norte, realizar un documento con el fin de establecer parámetros y proceder en los futuros casos que se presenten (05/abr/2021 - 30/ago/2021)")</f>
        <v>AICI202006-20-2| Solicitar los abogados del área y con el apoyo de la oficina Jurídica de la Subre Norte, realizar un documento con el fin de establecer parámetros y proceder en los futuros casos que se presenten (05/abr/2021 - 30/ago/2021)</v>
      </c>
      <c r="E184" s="0" t="str">
        <f aca="false">IFERROR(__xludf.dummyfunction("""COMPUTED_VALUE"""),"En el mes de marzo de 2023 talento Humano actualizó la Circular Interna 016 de 2021 por medio de la cual se emiten los LINEAMIENTOS GENERALES SOBRE INCAPACIDADES, con el fin de actualizar los lineamientos generales para el recibo de incapacidades en la Su"&amp;"bred Norte E.S.E. La cual esta en revisión por el área jurídica ")</f>
        <v>En el mes de marzo de 2023 talento Humano actualizó la Circular Interna 016 de 2021 por medio de la cual se emiten los LINEAMIENTOS GENERALES SOBRE INCAPACIDADES, con el fin de actualizar los lineamientos generales para el recibo de incapacidades en la Subred Norte E.S.E. La cual esta en revisión por el área jurídica </v>
      </c>
      <c r="F184" s="0" t="str">
        <f aca="false">IFERROR(__xludf.dummyfunction("""COMPUTED_VALUE"""),"Atrasado")</f>
        <v>Atrasado</v>
      </c>
    </row>
    <row r="185" customFormat="false" ht="14.25" hidden="false" customHeight="false" outlineLevel="0" collapsed="false">
      <c r="A185" s="18" t="str">
        <f aca="false">IFERROR(MID(D185,1,FIND("|",D185)-1)&amp;"-"&amp;C185,"")</f>
        <v>AICI202006-20-3-7</v>
      </c>
      <c r="B185" s="19" t="n">
        <f aca="false">IFERROR(__xludf.dummyfunction("""COMPUTED_VALUE"""),45034)</f>
        <v>45034</v>
      </c>
      <c r="C185" s="0" t="n">
        <f aca="false">IFERROR(__xludf.dummyfunction("""COMPUTED_VALUE"""),7)</f>
        <v>7</v>
      </c>
      <c r="D185" s="0" t="str">
        <f aca="false">IFERROR(__xludf.dummyfunction("""COMPUTED_VALUE"""),"AICI202006-20-3| Realizar  las actuaciones jurídicas que correspondan en torno al caso de la Sra. Gloria inés Montaña. (05/abr/2021 - 30/ago/2021)")</f>
        <v>AICI202006-20-3| Realizar  las actuaciones jurídicas que correspondan en torno al caso de la Sra. Gloria inés Montaña. (05/abr/2021 - 30/ago/2021)</v>
      </c>
      <c r="E185" s="0" t="str">
        <f aca="false">IFERROR(__xludf.dummyfunction("""COMPUTED_VALUE"""),"Se realizó una reunión el 30/01/2023 entre el área de talento humano y el área jurídica para analizar el caso de la señora Gloria Montaña y otros exfuncionarios, para lo cual se acuerda que la oficina asesora jurídica realizará trazabilidad del caso y ela"&amp;"borará el respectivo acto administrativo.")</f>
        <v>Se realizó una reunión el 30/01/2023 entre el área de talento humano y el área jurídica para analizar el caso de la señora Gloria Montaña y otros exfuncionarios, para lo cual se acuerda que la oficina asesora jurídica realizará trazabilidad del caso y elaborará el respectivo acto administrativo.</v>
      </c>
      <c r="F185" s="0" t="str">
        <f aca="false">IFERROR(__xludf.dummyfunction("""COMPUTED_VALUE"""),"Atrasado")</f>
        <v>Atrasado</v>
      </c>
    </row>
    <row r="186" customFormat="false" ht="14.25" hidden="false" customHeight="false" outlineLevel="0" collapsed="false">
      <c r="A186" s="18" t="str">
        <f aca="false">IFERROR(MID(D186,1,FIND("|",D186)-1)&amp;"-"&amp;C186,"")</f>
        <v>AICI202006-20-1-8</v>
      </c>
      <c r="B186" s="19" t="n">
        <f aca="false">IFERROR(__xludf.dummyfunction("""COMPUTED_VALUE"""),45120)</f>
        <v>45120</v>
      </c>
      <c r="C186" s="0" t="n">
        <f aca="false">IFERROR(__xludf.dummyfunction("""COMPUTED_VALUE"""),8)</f>
        <v>8</v>
      </c>
      <c r="D186" s="0" t="str">
        <f aca="false">IFERROR(__xludf.dummyfunction("""COMPUTED_VALUE"""),"AICI202006-20-1| Requerir a Colpensiones y  subsanar el hallazgo,  (05/abr/2021 - 30/ago/2021)")</f>
        <v>AICI202006-20-1| Requerir a Colpensiones y  subsanar el hallazgo,  (05/abr/2021 - 30/ago/2021)</v>
      </c>
      <c r="E186" s="0" t="str">
        <f aca="false">IFERROR(__xludf.dummyfunction("""COMPUTED_VALUE"""),"La Subdred  Norte mediante radicado No. 20233300081721, requirió a COLPENSIONES, el detalle de reconocimiento de prestación económica por incapacidad mayor a 180 días de la exfuncionaria Gloria Inés Montaña Gómez con C.C. 51,866,346. Se recibió respuesta "&amp;"de COLPENSIONES de fecha 19 de mayo de 2023, con radicado BZ2023_7356374-1361473.")</f>
        <v>La Subdred  Norte mediante radicado No. 20233300081721, requirió a COLPENSIONES, el detalle de reconocimiento de prestación económica por incapacidad mayor a 180 días de la exfuncionaria Gloria Inés Montaña Gómez con C.C. 51,866,346. Se recibió respuesta de COLPENSIONES de fecha 19 de mayo de 2023, con radicado BZ2023_7356374-1361473.</v>
      </c>
      <c r="F186" s="0" t="str">
        <f aca="false">IFERROR(__xludf.dummyfunction("""COMPUTED_VALUE"""),"Atrasado")</f>
        <v>Atrasado</v>
      </c>
    </row>
    <row r="187" customFormat="false" ht="14.25" hidden="false" customHeight="false" outlineLevel="0" collapsed="false">
      <c r="A187" s="18" t="str">
        <f aca="false">IFERROR(MID(D187,1,FIND("|",D187)-1)&amp;"-"&amp;C187,"")</f>
        <v>AICI202006-20-2-8</v>
      </c>
      <c r="B187" s="19" t="n">
        <f aca="false">IFERROR(__xludf.dummyfunction("""COMPUTED_VALUE"""),45120)</f>
        <v>45120</v>
      </c>
      <c r="C187" s="0" t="n">
        <f aca="false">IFERROR(__xludf.dummyfunction("""COMPUTED_VALUE"""),8)</f>
        <v>8</v>
      </c>
      <c r="D187" s="0" t="str">
        <f aca="false">IFERROR(__xludf.dummyfunction("""COMPUTED_VALUE"""),"AICI202006-20-2| Solicitar los abogados del área y con el apoyo de la oficina Jurídica de la Subre Norte, realizar un documento con el fin de establecer parámetros y proceder en los futuros casos que se presenten (05/abr/2021 - 30/ago/2021)")</f>
        <v>AICI202006-20-2| Solicitar los abogados del área y con el apoyo de la oficina Jurídica de la Subre Norte, realizar un documento con el fin de establecer parámetros y proceder en los futuros casos que se presenten (05/abr/2021 - 30/ago/2021)</v>
      </c>
      <c r="E187" s="0" t="str">
        <f aca="false">IFERROR(__xludf.dummyfunction("""COMPUTED_VALUE"""),"Se realizó proyecto de Circular para revisión de Oficina Jurídica ""LINEAMIENTOS GENERALES SOBRE INCAPACIDADES Y REPORTE DE AUSENTISMO"" ")</f>
        <v>Se realizó proyecto de Circular para revisión de Oficina Jurídica "LINEAMIENTOS GENERALES SOBRE INCAPACIDADES Y REPORTE DE AUSENTISMO" </v>
      </c>
      <c r="F187" s="0" t="str">
        <f aca="false">IFERROR(__xludf.dummyfunction("""COMPUTED_VALUE"""),"Atrasado")</f>
        <v>Atrasado</v>
      </c>
    </row>
    <row r="188" customFormat="false" ht="14.25" hidden="false" customHeight="false" outlineLevel="0" collapsed="false">
      <c r="A188" s="18" t="str">
        <f aca="false">IFERROR(MID(D188,1,FIND("|",D188)-1)&amp;"-"&amp;C188,"")</f>
        <v>AICI202006-20-3-8</v>
      </c>
      <c r="B188" s="19" t="n">
        <f aca="false">IFERROR(__xludf.dummyfunction("""COMPUTED_VALUE"""),45120)</f>
        <v>45120</v>
      </c>
      <c r="C188" s="0" t="n">
        <f aca="false">IFERROR(__xludf.dummyfunction("""COMPUTED_VALUE"""),8)</f>
        <v>8</v>
      </c>
      <c r="D188" s="0" t="str">
        <f aca="false">IFERROR(__xludf.dummyfunction("""COMPUTED_VALUE"""),"AICI202006-20-3| Realizar  las actuaciones jurídicas que correspondan en torno al caso de la Sra. Gloria inés Montaña. (05/abr/2021 - 30/ago/2021)")</f>
        <v>AICI202006-20-3| Realizar  las actuaciones jurídicas que correspondan en torno al caso de la Sra. Gloria inés Montaña. (05/abr/2021 - 30/ago/2021)</v>
      </c>
      <c r="E188" s="0" t="str">
        <f aca="false">IFERROR(__xludf.dummyfunction("""COMPUTED_VALUE"""),"De acuerdo a la Respuesta de COLPENSIONES con radicado BZ2023_7356374-1361473, se inicia nueva etapa para ejecución del cobro de las incapacidades con el apoyo de lo planteado por  el DAFP en concepto 176171 de 2021.")</f>
        <v>De acuerdo a la Respuesta de COLPENSIONES con radicado BZ2023_7356374-1361473, se inicia nueva etapa para ejecución del cobro de las incapacidades con el apoyo de lo planteado por  el DAFP en concepto 176171 de 2021.</v>
      </c>
      <c r="F188" s="0" t="str">
        <f aca="false">IFERROR(__xludf.dummyfunction("""COMPUTED_VALUE"""),"Atrasado")</f>
        <v>Atrasado</v>
      </c>
    </row>
    <row r="189" customFormat="false" ht="14.25" hidden="false" customHeight="false" outlineLevel="0" collapsed="false">
      <c r="A189" s="18" t="str">
        <f aca="false">IFERROR(MID(D189,1,FIND("|",D189)-1)&amp;"-"&amp;C189,"")</f>
        <v>AICI202006-5-1-8</v>
      </c>
      <c r="B189" s="19" t="n">
        <f aca="false">IFERROR(__xludf.dummyfunction("""COMPUTED_VALUE"""),45120)</f>
        <v>45120</v>
      </c>
      <c r="C189" s="0" t="n">
        <f aca="false">IFERROR(__xludf.dummyfunction("""COMPUTED_VALUE"""),8)</f>
        <v>8</v>
      </c>
      <c r="D189" s="0" t="str">
        <f aca="false">IFERROR(__xludf.dummyfunction("""COMPUTED_VALUE"""),"AICI202006-5-1| Realizar análisis cuidadoso de los riesgos que pueden presentarse en la ejecución del procedimiento de incapacidades, ... (05/abr/2021 - 30/nov/2021)")</f>
        <v>AICI202006-5-1| Realizar análisis cuidadoso de los riesgos que pueden presentarse en la ejecución del procedimiento de incapacidades, ... (05/abr/2021 - 30/nov/2021)</v>
      </c>
      <c r="E189" s="0" t="str">
        <f aca="false">IFERROR(__xludf.dummyfunction("""COMPUTED_VALUE"""),"Talento Humano, con el direccionamiento de Desarrollo institucional realizo la actualización de los riesgos dejando uno general de  la liquidación de la Nómina que incluye Seguridad Social, Novedades, Incapacidades, descuentos y pagos a que el personal ti"&amp;"ene derecho. Se verificó en Almera.  ")</f>
        <v>Talento Humano, con el direccionamiento de Desarrollo institucional realizo la actualización de los riesgos dejando uno general de  la liquidación de la Nómina que incluye Seguridad Social, Novedades, Incapacidades, descuentos y pagos a que el personal tiene derecho. Se verificó en Almera.  </v>
      </c>
      <c r="F189" s="0" t="str">
        <f aca="false">IFERROR(__xludf.dummyfunction("""COMPUTED_VALUE"""),"Completo")</f>
        <v>Completo</v>
      </c>
      <c r="G189" s="0" t="str">
        <f aca="false">IFERROR(__xludf.dummyfunction("""COMPUTED_VALUE"""),"Sí")</f>
        <v>Sí</v>
      </c>
    </row>
    <row r="190" customFormat="false" ht="14.25" hidden="false" customHeight="false" outlineLevel="0" collapsed="false">
      <c r="A190" s="18" t="str">
        <f aca="false">IFERROR(MID(D190,1,FIND("|",D190)-1)&amp;"-"&amp;C190,"")</f>
        <v>AICI202006-5-3-8</v>
      </c>
      <c r="B190" s="19" t="n">
        <f aca="false">IFERROR(__xludf.dummyfunction("""COMPUTED_VALUE"""),45120)</f>
        <v>45120</v>
      </c>
      <c r="C190" s="0" t="n">
        <f aca="false">IFERROR(__xludf.dummyfunction("""COMPUTED_VALUE"""),8)</f>
        <v>8</v>
      </c>
      <c r="D190" s="0" t="str">
        <f aca="false">IFERROR(__xludf.dummyfunction("""COMPUTED_VALUE"""),"AICI202006-5-3| Realizar reuiniones con los abogados del área de Talento Humano para la idenficación de los riesgos jurídicos. (05/abr/2021 - 30/nov/2021)")</f>
        <v>AICI202006-5-3| Realizar reuiniones con los abogados del área de Talento Humano para la idenficación de los riesgos jurídicos. (05/abr/2021 - 30/nov/2021)</v>
      </c>
      <c r="E190" s="0" t="str">
        <f aca="false">IFERROR(__xludf.dummyfunction("""COMPUTED_VALUE"""),"No se ha establecido el riesgo jurídico por concepto de incapacidades")</f>
        <v>No se ha establecido el riesgo jurídico por concepto de incapacidades</v>
      </c>
      <c r="F190" s="0" t="str">
        <f aca="false">IFERROR(__xludf.dummyfunction("""COMPUTED_VALUE"""),"Atrasado")</f>
        <v>Atrasado</v>
      </c>
    </row>
    <row r="191" customFormat="false" ht="14.25" hidden="false" customHeight="false" outlineLevel="0" collapsed="false">
      <c r="A191" s="18" t="str">
        <f aca="false">IFERROR(MID(D191,1,FIND("|",D191)-1)&amp;"-"&amp;C191,"")</f>
        <v>AICI202006-14-1-8</v>
      </c>
      <c r="B191" s="19" t="n">
        <f aca="false">IFERROR(__xludf.dummyfunction("""COMPUTED_VALUE"""),45121)</f>
        <v>45121</v>
      </c>
      <c r="C191" s="0" t="n">
        <f aca="false">IFERROR(__xludf.dummyfunction("""COMPUTED_VALUE"""),8)</f>
        <v>8</v>
      </c>
      <c r="D191" s="0" t="str">
        <f aca="false">IFERROR(__xludf.dummyfunction("""COMPUTED_VALUE"""),"AICI202006-14-1| Proponer que las diferencias presentadas en los IBC por los tiempos en la liquidación y reconocimiento de la incapacidad, cuenten con un margen de conciliación con contabilidad para  saldos dentro del periodo de aplicación  (05/abr/2021 -"&amp;" 31/ago/2021)")</f>
        <v>AICI202006-14-1| Proponer que las diferencias presentadas en los IBC por los tiempos en la liquidación y reconocimiento de la incapacidad, cuenten con un margen de conciliación con contabilidad para  saldos dentro del periodo de aplicación  (05/abr/2021 - 31/ago/2021)</v>
      </c>
      <c r="E191" s="0" t="str">
        <f aca="false">IFERROR(__xludf.dummyfunction("""COMPUTED_VALUE"""),"Desde el mes de enero de 2023 se vienen adelantando todas las acciones necesarias con las EPS y ARL con el fin de disminuir la cartera por concepto de incapacidades. Se creó una matriz de control de incapacidades clasificada por funcionario y por Entidad "&amp;"Administradora, ya que no se contaba con esta herramienta para poder identificar el saldo de la cartera y llevar un debido control por cada funcionario y cada EPS y ARL. También se inició la conciliación de saldos con el área de cartera por factura, cuent"&amp;"a y EPS o ARL, actividad que se efectuaba anteriormente con un acta y se aplicaban los pagos a la factura más antigua en la mayoría de EPS y no se aplicaban por funcionario y fecha de incapacidad, por esta razón existen muchas diferencias en los saldos de"&amp;" las incapacidades pagadas, las cuales se están depurando. ")</f>
        <v>Desde el mes de enero de 2023 se vienen adelantando todas las acciones necesarias con las EPS y ARL con el fin de disminuir la cartera por concepto de incapacidades. Se creó una matriz de control de incapacidades clasificada por funcionario y por Entidad Administradora, ya que no se contaba con esta herramienta para poder identificar el saldo de la cartera y llevar un debido control por cada funcionario y cada EPS y ARL. También se inició la conciliación de saldos con el área de cartera por factura, cuenta y EPS o ARL, actividad que se efectuaba anteriormente con un acta y se aplicaban los pagos a la factura más antigua en la mayoría de EPS y no se aplicaban por funcionario y fecha de incapacidad, por esta razón existen muchas diferencias en los saldos de las incapacidades pagadas, las cuales se están depurando. </v>
      </c>
      <c r="F191" s="0" t="str">
        <f aca="false">IFERROR(__xludf.dummyfunction("""COMPUTED_VALUE"""),"Atrasado")</f>
        <v>Atrasado</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row r="1000" customFormat="false" ht="14.25" hidden="false" customHeight="false" outlineLevel="0" collapsed="false">
      <c r="A1000" s="18" t="str">
        <f aca="false">IFERROR(MID(D1000,1,FIND("|",D1000)-1)&amp;"-"&amp;C1000,"")</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
  </cols>
  <sheetData>
    <row r="1" customFormat="false" ht="12.75" hidden="false" customHeight="false" outlineLevel="0" collapsed="false">
      <c r="A1" s="13" t="s">
        <v>1824</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AICI202007-1-1-1</v>
      </c>
      <c r="B4" s="19" t="n">
        <f aca="false">IFERROR(__xludf.dummyfunction("""COMPUTED_VALUE"""),44433)</f>
        <v>44433</v>
      </c>
      <c r="C4" s="0" t="n">
        <f aca="false">IFERROR(__xludf.dummyfunction("""COMPUTED_VALUE"""),1)</f>
        <v>1</v>
      </c>
      <c r="D4" s="0" t="str">
        <f aca="false">IFERROR(__xludf.dummyfunction("""COMPUTED_VALUE"""),"AICI202007-1-1| El área de Contratación realizará capacitaciones y mesas de trabajo junto con las áreas técnicas, con el fin de que el análisis de riesgo sea acorde con las condiciones actuales del mercado ... (01/01/2021 - 30/06/2021)")</f>
        <v>AICI202007-1-1| El área de Contratación realizará capacitaciones y mesas de trabajo junto con las áreas técnicas, con el fin de que el análisis de riesgo sea acorde con las condiciones actuales del mercado ... (01/01/2021 - 30/06/2021)</v>
      </c>
      <c r="E4" s="0" t="str">
        <f aca="false">IFERROR(__xludf.dummyfunction("""COMPUTED_VALUE"""),"La Dirección de contratación dentro de las 3 capacitaciones realizadas a los supervisores de contrato para la vigencia 2021, resalta de manera enfática cada uno de los proceso que se deben tener en cuenta para una buena supervisión. Dentro de ellas las Re"&amp;"sponsabilidades disciplinaria, penal, fiscal y fiscal.")</f>
        <v>La Dirección de contratación dentro de las 3 capacitaciones realizadas a los supervisores de contrato para la vigencia 2021, resalta de manera enfática cada uno de los proceso que se deben tener en cuenta para una buena supervisión. Dentro de ellas las Responsabilidades disciplinaria, penal, fiscal y fiscal.</v>
      </c>
      <c r="F4" s="0" t="str">
        <f aca="false">IFERROR(__xludf.dummyfunction("""COMPUTED_VALUE"""),"Completo")</f>
        <v>Completo</v>
      </c>
    </row>
    <row r="5" customFormat="false" ht="14.25" hidden="false" customHeight="false" outlineLevel="0" collapsed="false">
      <c r="A5" s="18" t="str">
        <f aca="false">IFERROR(MID(D5,1,FIND("|",D5)-1)&amp;"-"&amp;C5,"")</f>
        <v>AICI202007-2-1-1</v>
      </c>
      <c r="B5" s="19" t="n">
        <f aca="false">IFERROR(__xludf.dummyfunction("""COMPUTED_VALUE"""),44433)</f>
        <v>44433</v>
      </c>
      <c r="C5" s="0" t="n">
        <f aca="false">IFERROR(__xludf.dummyfunction("""COMPUTED_VALUE"""),1)</f>
        <v>1</v>
      </c>
      <c r="D5" s="0" t="str">
        <f aca="false">IFERROR(__xludf.dummyfunction("""COMPUTED_VALUE"""),"AICI202007-2-1| La Dirección de Contratación, realizará capacitaciones a los líderes de proceso, supervisores y demás actores que intervienen en el proceso de adquisición de bienes y servicios.")</f>
        <v>AICI202007-2-1| La Dirección de Contratación, realizará capacitaciones a los líderes de proceso, supervisores y demás actores que intervienen en el proceso de adquisición de bienes y servicios.</v>
      </c>
      <c r="E5" s="0" t="str">
        <f aca="false">IFERROR(__xludf.dummyfunction("""COMPUTED_VALUE"""),"La Dirección de Contratación con el fin de mejorar las competencias y el fortalecimiento en materia de supervisión, programo capacitaciones a los supervisores de contrato y a los apoyos en el ejercicio de esta labor. Dichas capacitaciones se realizan de m"&amp;"anera mensual, donde se exponen temas puntuales del manual de contratación de la Subred Norte, con el fin de profundizar conocimientos y brindar orientaciones que surgen en las sesiones.")</f>
        <v>La Dirección de Contratación con el fin de mejorar las competencias y el fortalecimiento en materia de supervisión, programo capacitaciones a los supervisores de contrato y a los apoyos en el ejercicio de esta labor. Dichas capacitaciones se realizan de manera mensual, donde se exponen temas puntuales del manual de contratación de la Subred Norte, con el fin de profundizar conocimientos y brindar orientaciones que surgen en las sesiones.</v>
      </c>
      <c r="F5" s="0" t="str">
        <f aca="false">IFERROR(__xludf.dummyfunction("""COMPUTED_VALUE"""),"Completo")</f>
        <v>Completo</v>
      </c>
    </row>
    <row r="6" customFormat="false" ht="14.25" hidden="false" customHeight="false" outlineLevel="0" collapsed="false">
      <c r="A6" s="18" t="str">
        <f aca="false">IFERROR(MID(D6,1,FIND("|",D6)-1)&amp;"-"&amp;C6,"")</f>
        <v/>
      </c>
    </row>
    <row r="7" customFormat="false" ht="14.25" hidden="false" customHeight="false" outlineLevel="0" collapsed="false">
      <c r="A7" s="18" t="str">
        <f aca="false">IFERROR(MID(D7,1,FIND("|",D7)-1)&amp;"-"&amp;C7,"")</f>
        <v/>
      </c>
    </row>
    <row r="8" customFormat="false" ht="14.25" hidden="false" customHeight="false" outlineLevel="0" collapsed="false">
      <c r="A8" s="18" t="str">
        <f aca="false">IFERROR(MID(D8,1,FIND("|",D8)-1)&amp;"-"&amp;C8,"")</f>
        <v/>
      </c>
    </row>
    <row r="9" customFormat="false" ht="14.25" hidden="false" customHeight="false" outlineLevel="0" collapsed="false">
      <c r="A9" s="18" t="str">
        <f aca="false">IFERROR(MID(D9,1,FIND("|",D9)-1)&amp;"-"&amp;C9,"")</f>
        <v/>
      </c>
    </row>
    <row r="10" customFormat="false" ht="14.25" hidden="false" customHeight="false" outlineLevel="0" collapsed="false">
      <c r="A10" s="18" t="str">
        <f aca="false">IFERROR(MID(D10,1,FIND("|",D10)-1)&amp;"-"&amp;C10,"")</f>
        <v/>
      </c>
    </row>
    <row r="11" customFormat="false" ht="14.25" hidden="false" customHeight="false" outlineLevel="0" collapsed="false">
      <c r="A11" s="18" t="str">
        <f aca="false">IFERROR(MID(D11,1,FIND("|",D11)-1)&amp;"-"&amp;C11,"")</f>
        <v/>
      </c>
    </row>
    <row r="12" customFormat="false" ht="14.25" hidden="false" customHeight="false" outlineLevel="0" collapsed="false">
      <c r="A12" s="18" t="str">
        <f aca="false">IFERROR(MID(D12,1,FIND("|",D12)-1)&amp;"-"&amp;C12,"")</f>
        <v/>
      </c>
    </row>
    <row r="13" customFormat="false" ht="14.25" hidden="false" customHeight="false" outlineLevel="0" collapsed="false">
      <c r="A13" s="18" t="str">
        <f aca="false">IFERROR(MID(D13,1,FIND("|",D13)-1)&amp;"-"&amp;C13,"")</f>
        <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sheetData>
    <row r="1" customFormat="false" ht="15" hidden="false" customHeight="true" outlineLevel="0" collapsed="false">
      <c r="A1" s="13" t="s">
        <v>1825</v>
      </c>
      <c r="B1" s="13" t="s">
        <v>1779</v>
      </c>
      <c r="C1" s="13" t="s">
        <v>1780</v>
      </c>
      <c r="D1" s="13" t="s">
        <v>1781</v>
      </c>
      <c r="E1" s="13" t="s">
        <v>1782</v>
      </c>
      <c r="F1" s="13" t="s">
        <v>1783</v>
      </c>
      <c r="G1" s="13" t="s">
        <v>1784</v>
      </c>
    </row>
    <row r="2" customFormat="false" ht="15" hidden="false" customHeight="true" outlineLevel="0" collapsed="false">
      <c r="A2" s="17"/>
      <c r="B2" s="17"/>
      <c r="C2" s="17"/>
      <c r="D2" s="17"/>
      <c r="E2" s="17"/>
      <c r="F2" s="17"/>
      <c r="G2" s="17"/>
    </row>
    <row r="3" customFormat="false" ht="15" hidden="false" customHeight="tru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5" hidden="false" customHeight="true" outlineLevel="0" collapsed="false">
      <c r="A4" s="18" t="str">
        <f aca="false">IFERROR(MID(D4,1,FIND("|",D4)-1)&amp;"-"&amp;C4,"")</f>
        <v>AICI201910-1-1-1</v>
      </c>
      <c r="B4" s="19" t="n">
        <f aca="false">IFERROR(__xludf.dummyfunction("""COMPUTED_VALUE"""),44047)</f>
        <v>44047</v>
      </c>
      <c r="C4" s="0" t="n">
        <f aca="false">IFERROR(__xludf.dummyfunction("""COMPUTED_VALUE"""),1)</f>
        <v>1</v>
      </c>
      <c r="D4" s="0" t="str">
        <f aca="false">IFERROR(__xludf.dummyfunction("""COMPUTED_VALUE"""),"AICI201910-1-1| Modificar el formato de boletin tesoreria vs.contabilidad donde se refleje la discriminacion de cuentas de ahorro, corriente, recursos propios y uso restringido. Continuar con las conciliaciones mensuales entre las areas involucradas. (01/"&amp;"02/2020 - 31/03/2020)")</f>
        <v>AICI201910-1-1| Modificar el formato de boletin tesoreria vs.contabilidad donde se refleje la discriminacion de cuentas de ahorro, corriente, recursos propios y uso restringido. Continuar con las conciliaciones mensuales entre las areas involucradas. (01/02/2020 - 31/03/2020)</v>
      </c>
      <c r="E4" s="0" t="str">
        <f aca="false">IFERROR(__xludf.dummyfunction("""COMPUTED_VALUE"""),"Se modificó el formato de boletín Tesorería vs. Contabilidad  donde se refleja la discriminación de la totalidad de las cuentas de ahorro, corriente, recursos propios y uso restringido. Se vienen realizando  las conciliaciones mensuales entre las áreas in"&amp;"volucradas.")</f>
        <v>Se modificó el formato de boletín Tesorería vs. Contabilidad  donde se refleja la discriminación de la totalidad de las cuentas de ahorro, corriente, recursos propios y uso restringido. Se vienen realizando  las conciliaciones mensuales entre las áreas involucradas.</v>
      </c>
      <c r="F4" s="0" t="str">
        <f aca="false">IFERROR(__xludf.dummyfunction("""COMPUTED_VALUE"""),"Completo")</f>
        <v>Completo</v>
      </c>
      <c r="G4" s="20" t="str">
        <f aca="false">IFERROR(__xludf.dummyfunction("""COMPUTED_VALUE"""),"https://drive.google.com/open?id=1-aqlcUacwKAdwsDnt9rFPQhadDXH_9OL")</f>
        <v>https://drive.google.com/open?id=1-aqlcUacwKAdwsDnt9rFPQhadDXH_9OL</v>
      </c>
    </row>
    <row r="5" customFormat="false" ht="15" hidden="false" customHeight="true" outlineLevel="0" collapsed="false">
      <c r="A5" s="18" t="str">
        <f aca="false">IFERROR(MID(D5,1,FIND("|",D5)-1)&amp;"-"&amp;C5,"")</f>
        <v>AICI201910-2-1-1</v>
      </c>
      <c r="B5" s="19" t="n">
        <f aca="false">IFERROR(__xludf.dummyfunction("""COMPUTED_VALUE"""),44047)</f>
        <v>44047</v>
      </c>
      <c r="C5" s="0" t="n">
        <f aca="false">IFERROR(__xludf.dummyfunction("""COMPUTED_VALUE"""),1)</f>
        <v>1</v>
      </c>
      <c r="D5" s="0" t="str">
        <f aca="false">IFERROR(__xludf.dummyfunction("""COMPUTED_VALUE"""),"AICI201910-2-1| Incluir el saldo de caja menor de forma mensual con la respectiva firma del responsable, en el formato de conciliacion entre las areas de contabiidad y tesoreria (01/02/2020 - 31/03/2020)")</f>
        <v>AICI201910-2-1| Incluir el saldo de caja menor de forma mensual con la respectiva firma del responsable, en el formato de conciliacion entre las areas de contabiidad y tesoreria (01/02/2020 - 31/03/2020)</v>
      </c>
      <c r="E5" s="0" t="str">
        <f aca="false">IFERROR(__xludf.dummyfunction("""COMPUTED_VALUE"""),"Se Incluyó el saldo de la cuenta corriente de la caja menor, con la respectiva firma del responsable, en el formato de conciliación entre las áreas de contabilidad y tesorería.
Se realiza conciliación de saldos entre Contabilidad y Caja menor. El boletín "&amp;"de Tesorería incluye la cuenta corriente de caja menor. ")</f>
        <v>Se Incluyó el saldo de la cuenta corriente de la caja menor, con la respectiva firma del responsable, en el formato de conciliación entre las áreas de contabilidad y tesorería.
Se realiza conciliación de saldos entre Contabilidad y Caja menor. El boletín de Tesorería incluye la cuenta corriente de caja menor. </v>
      </c>
      <c r="F5" s="0" t="str">
        <f aca="false">IFERROR(__xludf.dummyfunction("""COMPUTED_VALUE"""),"Completo")</f>
        <v>Completo</v>
      </c>
      <c r="G5" s="20" t="str">
        <f aca="false">IFERROR(__xludf.dummyfunction("""COMPUTED_VALUE"""),"https://drive.google.com/open?id=1XdfBxC8IiqcQGrhxmc3q0zDwiC4z1LzM")</f>
        <v>https://drive.google.com/open?id=1XdfBxC8IiqcQGrhxmc3q0zDwiC4z1LzM</v>
      </c>
    </row>
    <row r="6" customFormat="false" ht="15" hidden="false" customHeight="true" outlineLevel="0" collapsed="false">
      <c r="A6" s="18" t="str">
        <f aca="false">IFERROR(MID(D6,1,FIND("|",D6)-1)&amp;"-"&amp;C6,"")</f>
        <v>AICI201910-1-1-1</v>
      </c>
      <c r="B6" s="19" t="n">
        <f aca="false">IFERROR(__xludf.dummyfunction("""COMPUTED_VALUE"""),44047)</f>
        <v>44047</v>
      </c>
      <c r="C6" s="0" t="n">
        <f aca="false">IFERROR(__xludf.dummyfunction("""COMPUTED_VALUE"""),1)</f>
        <v>1</v>
      </c>
      <c r="D6" s="0" t="str">
        <f aca="false">IFERROR(__xludf.dummyfunction("""COMPUTED_VALUE"""),"AICI201910-1-1| Modificar el formato de boletin tesoreria vs.contabilidad donde se refleje la discriminacion de cuentas de ahorro, corriente, recursos propios y uso restringido. Continuar con las conciliaciones mensuales entre las areas involucradas. (01/"&amp;"02/2020 - 31/03/2020)")</f>
        <v>AICI201910-1-1| Modificar el formato de boletin tesoreria vs.contabilidad donde se refleje la discriminacion de cuentas de ahorro, corriente, recursos propios y uso restringido. Continuar con las conciliaciones mensuales entre las areas involucradas. (01/02/2020 - 31/03/2020)</v>
      </c>
      <c r="E6" s="0" t="str">
        <f aca="false">IFERROR(__xludf.dummyfunction("""COMPUTED_VALUE"""),"Se modificó el formato de boletín Tesorería vs. Contabilidad  donde se refleja la discriminación de la totalidad de las cuentas de ahorro, corriente, recursos propios y uso restringido. Se vienen realizando  las conciliaciones mensuales entre las áreas in"&amp;"volucradas.")</f>
        <v>Se modificó el formato de boletín Tesorería vs. Contabilidad  donde se refleja la discriminación de la totalidad de las cuentas de ahorro, corriente, recursos propios y uso restringido. Se vienen realizando  las conciliaciones mensuales entre las áreas involucradas.</v>
      </c>
      <c r="F6" s="0" t="str">
        <f aca="false">IFERROR(__xludf.dummyfunction("""COMPUTED_VALUE"""),"Completo")</f>
        <v>Completo</v>
      </c>
      <c r="G6" s="20" t="str">
        <f aca="false">IFERROR(__xludf.dummyfunction("""COMPUTED_VALUE"""),"https://drive.google.com/open?id=1JWL3tpFcLYW8li_2cVIenlNKtbTYa0rq")</f>
        <v>https://drive.google.com/open?id=1JWL3tpFcLYW8li_2cVIenlNKtbTYa0rq</v>
      </c>
    </row>
    <row r="7" customFormat="false" ht="15" hidden="false" customHeight="true" outlineLevel="0" collapsed="false">
      <c r="A7" s="18" t="str">
        <f aca="false">IFERROR(MID(D7,1,FIND("|",D7)-1)&amp;"-"&amp;C7,"")</f>
        <v>AICI201910-1-1-1</v>
      </c>
      <c r="B7" s="19" t="n">
        <f aca="false">IFERROR(__xludf.dummyfunction("""COMPUTED_VALUE"""),44047)</f>
        <v>44047</v>
      </c>
      <c r="C7" s="0" t="n">
        <f aca="false">IFERROR(__xludf.dummyfunction("""COMPUTED_VALUE"""),1)</f>
        <v>1</v>
      </c>
      <c r="D7" s="0" t="str">
        <f aca="false">IFERROR(__xludf.dummyfunction("""COMPUTED_VALUE"""),"AICI201910-1-1| Modificar el formato de boletin tesoreria vs.contabilidad donde se refleje la discriminacion de cuentas de ahorro, corriente, recursos propios y uso restringido. Continuar con las conciliaciones mensuales entre las areas involucradas. (01/"&amp;"02/2020 - 31/03/2020)")</f>
        <v>AICI201910-1-1| Modificar el formato de boletin tesoreria vs.contabilidad donde se refleje la discriminacion de cuentas de ahorro, corriente, recursos propios y uso restringido. Continuar con las conciliaciones mensuales entre las areas involucradas. (01/02/2020 - 31/03/2020)</v>
      </c>
      <c r="E7" s="0" t="str">
        <f aca="false">IFERROR(__xludf.dummyfunction("""COMPUTED_VALUE"""),"Se modificó el formato de boletín Tesorería vs. Contabilidad  donde se refleja la discriminación de la totalidad de las cuentas de ahorro, corriente, recursos propios y uso restringido. Se vienen realizando  las conciliaciones mensuales entre las áreas in"&amp;"volucradas.")</f>
        <v>Se modificó el formato de boletín Tesorería vs. Contabilidad  donde se refleja la discriminación de la totalidad de las cuentas de ahorro, corriente, recursos propios y uso restringido. Se vienen realizando  las conciliaciones mensuales entre las áreas involucradas.</v>
      </c>
      <c r="F7" s="0" t="str">
        <f aca="false">IFERROR(__xludf.dummyfunction("""COMPUTED_VALUE"""),"Completo")</f>
        <v>Completo</v>
      </c>
      <c r="G7" s="20" t="str">
        <f aca="false">IFERROR(__xludf.dummyfunction("""COMPUTED_VALUE"""),"https://drive.google.com/open?id=1WI6_N1r10QXeI1JC3ka3xvKaBsyo5oX9")</f>
        <v>https://drive.google.com/open?id=1WI6_N1r10QXeI1JC3ka3xvKaBsyo5oX9</v>
      </c>
    </row>
    <row r="8" customFormat="false" ht="15" hidden="false" customHeight="true" outlineLevel="0" collapsed="false">
      <c r="A8" s="18" t="str">
        <f aca="false">IFERROR(MID(D8,1,FIND("|",D8)-1)&amp;"-"&amp;C8,"")</f>
        <v>AICI201910-3-1-1</v>
      </c>
      <c r="B8" s="19" t="n">
        <f aca="false">IFERROR(__xludf.dummyfunction("""COMPUTED_VALUE"""),44047)</f>
        <v>44047</v>
      </c>
      <c r="C8" s="0" t="n">
        <f aca="false">IFERROR(__xludf.dummyfunction("""COMPUTED_VALUE"""),1)</f>
        <v>1</v>
      </c>
      <c r="D8" s="0" t="str">
        <f aca="false">IFERROR(__xludf.dummyfunction("""COMPUTED_VALUE"""),"AICI201910-3-1| Modificar el formato de boletin tesoreria vs.contabilidad donde se refleje la discriminacion de cuentas de ahorro, corriente, recursos propios y uso restringido. Continuar con las conciliaciones mensuales entre las areas involucradas. (01/"&amp;"02/2020 - 31/03/2020)")</f>
        <v>AICI201910-3-1| Modificar el formato de boletin tesoreria vs.contabilidad donde se refleje la discriminacion de cuentas de ahorro, corriente, recursos propios y uso restringido. Continuar con las conciliaciones mensuales entre las areas involucradas. (01/02/2020 - 31/03/2020)</v>
      </c>
      <c r="E8" s="0" t="str">
        <f aca="false">IFERROR(__xludf.dummyfunction("""COMPUTED_VALUE"""),"Se continua con las conciliaciones bancarias y de saldos contables vs. Contabilidad enumerando las cuentas bancarias existentes.  
Se verificó la conciliación de saldos entre áreas y el saldo reportado en estados financieros.")</f>
        <v>Se continua con las conciliaciones bancarias y de saldos contables vs. Contabilidad enumerando las cuentas bancarias existentes.  
Se verificó la conciliación de saldos entre áreas y el saldo reportado en estados financieros.</v>
      </c>
      <c r="F8" s="0" t="str">
        <f aca="false">IFERROR(__xludf.dummyfunction("""COMPUTED_VALUE"""),"Completo")</f>
        <v>Completo</v>
      </c>
      <c r="G8" s="20" t="str">
        <f aca="false">IFERROR(__xludf.dummyfunction("""COMPUTED_VALUE"""),"https://drive.google.com/open?id=1rQXCjA_twyGFNL6Bl3uxM77s3u3bN12d")</f>
        <v>https://drive.google.com/open?id=1rQXCjA_twyGFNL6Bl3uxM77s3u3bN12d</v>
      </c>
    </row>
    <row r="9" customFormat="false" ht="15" hidden="false" customHeight="true" outlineLevel="0" collapsed="false">
      <c r="A9" s="18" t="str">
        <f aca="false">IFERROR(MID(D9,1,FIND("|",D9)-1)&amp;"-"&amp;C9,"")</f>
        <v>AICI201910-1-1-1</v>
      </c>
      <c r="B9" s="19" t="n">
        <f aca="false">IFERROR(__xludf.dummyfunction("""COMPUTED_VALUE"""),44047)</f>
        <v>44047</v>
      </c>
      <c r="C9" s="0" t="n">
        <f aca="false">IFERROR(__xludf.dummyfunction("""COMPUTED_VALUE"""),1)</f>
        <v>1</v>
      </c>
      <c r="D9" s="0" t="str">
        <f aca="false">IFERROR(__xludf.dummyfunction("""COMPUTED_VALUE"""),"AICI201910-1-1| Modificar el formato de boletin tesoreria vs.contabilidad donde se refleje la discriminacion de cuentas de ahorro, corriente, recursos propios y uso restringido. Continuar con las conciliaciones mensuales entre las areas involucradas. (01/"&amp;"02/2020 - 31/03/2020)")</f>
        <v>AICI201910-1-1| Modificar el formato de boletin tesoreria vs.contabilidad donde se refleje la discriminacion de cuentas de ahorro, corriente, recursos propios y uso restringido. Continuar con las conciliaciones mensuales entre las areas involucradas. (01/02/2020 - 31/03/2020)</v>
      </c>
      <c r="E9" s="0" t="str">
        <f aca="false">IFERROR(__xludf.dummyfunction("""COMPUTED_VALUE"""),"Se modificó el formato de boletín Tesorería vs. Contabilidad  donde se refleja la discriminación de la totalidad de las cuentas de ahorro, corriente, recursos propios y uso restringido. Se vienen realizando  las conciliaciones mensuales entre las áreas in"&amp;"volucradas.")</f>
        <v>Se modificó el formato de boletín Tesorería vs. Contabilidad  donde se refleja la discriminación de la totalidad de las cuentas de ahorro, corriente, recursos propios y uso restringido. Se vienen realizando  las conciliaciones mensuales entre las áreas involucradas.</v>
      </c>
      <c r="F9" s="0" t="str">
        <f aca="false">IFERROR(__xludf.dummyfunction("""COMPUTED_VALUE"""),"Completo")</f>
        <v>Completo</v>
      </c>
      <c r="G9" s="20" t="str">
        <f aca="false">IFERROR(__xludf.dummyfunction("""COMPUTED_VALUE"""),"https://drive.google.com/open?id=10RTRF9z1gBEBhJZoactkFg8mRZWqMpGM")</f>
        <v>https://drive.google.com/open?id=10RTRF9z1gBEBhJZoactkFg8mRZWqMpGM</v>
      </c>
    </row>
    <row r="10" customFormat="false" ht="15" hidden="false" customHeight="true" outlineLevel="0" collapsed="false">
      <c r="A10" s="18" t="str">
        <f aca="false">IFERROR(MID(D10,1,FIND("|",D10)-1)&amp;"-"&amp;C10,"")</f>
        <v>AICI201910-4-1-1</v>
      </c>
      <c r="B10" s="19" t="n">
        <f aca="false">IFERROR(__xludf.dummyfunction("""COMPUTED_VALUE"""),44047)</f>
        <v>44047</v>
      </c>
      <c r="C10" s="0" t="n">
        <f aca="false">IFERROR(__xludf.dummyfunction("""COMPUTED_VALUE"""),1)</f>
        <v>1</v>
      </c>
      <c r="D10" s="0" t="str">
        <f aca="false">IFERROR(__xludf.dummyfunction("""COMPUTED_VALUE"""),"AICI201910-4-1| Garantizar que los comprobantes elaborados en el modulo de contabilidad contenga soporte fisico que justifica la elaboracion de este. (01/02/2020 - 31/03/2020)")</f>
        <v>AICI201910-4-1| Garantizar que los comprobantes elaborados en el modulo de contabilidad contenga soporte fisico que justifica la elaboracion de este. (01/02/2020 - 31/03/2020)</v>
      </c>
      <c r="E10" s="0" t="str">
        <f aca="false">IFERROR(__xludf.dummyfunction("""COMPUTED_VALUE"""),"El boletín de Tesorería del mes junio de 2020, registra la cuenta bancaria No. 4300243310, dentro de las cuentas activas con saldo de $82.409,94, por lo que se requiere anexar los registros posteriores al embargo y los soportes correspondientes. Se debe d"&amp;"emostrar el reintegro de los valores embargados al origen por los que fueron consignados que corresponden al convenio 1203")</f>
        <v>El boletín de Tesorería del mes junio de 2020, registra la cuenta bancaria No. 4300243310, dentro de las cuentas activas con saldo de $82.409,94, por lo que se requiere anexar los registros posteriores al embargo y los soportes correspondientes. Se debe demostrar el reintegro de los valores embargados al origen por los que fueron consignados que corresponden al convenio 1203</v>
      </c>
      <c r="F10" s="0" t="str">
        <f aca="false">IFERROR(__xludf.dummyfunction("""COMPUTED_VALUE"""),"En desarrollo")</f>
        <v>En desarrollo</v>
      </c>
    </row>
    <row r="11" customFormat="false" ht="15" hidden="false" customHeight="true" outlineLevel="0" collapsed="false">
      <c r="A11" s="18" t="str">
        <f aca="false">IFERROR(MID(D11,1,FIND("|",D11)-1)&amp;"-"&amp;C11,"")</f>
        <v>AICI201910-6-1-1</v>
      </c>
      <c r="B11" s="19" t="n">
        <f aca="false">IFERROR(__xludf.dummyfunction("""COMPUTED_VALUE"""),44047)</f>
        <v>44047</v>
      </c>
      <c r="C11" s="0" t="n">
        <f aca="false">IFERROR(__xludf.dummyfunction("""COMPUTED_VALUE"""),1)</f>
        <v>1</v>
      </c>
      <c r="D11" s="0" t="str">
        <f aca="false">IFERROR(__xludf.dummyfunction("""COMPUTED_VALUE"""),"AICI201910-6-1| Implementar formato que permita interpretacion de las cuentas contables que no se conciliacian con con el area de cartera, y que permitan verificar la coincidencia del estado de cartera con los estados financieros. (01/02/2020 - 31/03/2020"&amp;")")</f>
        <v>AICI201910-6-1| Implementar formato que permita interpretacion de las cuentas contables que no se conciliacian con con el area de cartera, y que permitan verificar la coincidencia del estado de cartera con los estados financieros. (01/02/2020 - 31/03/2020)</v>
      </c>
      <c r="E11" s="0" t="str">
        <f aca="false">IFERROR(__xludf.dummyfunction("""COMPUTED_VALUE"""),"A la conciliación mensual entre Cuentas por Cobrar y Contabilidad, se le anexa soporte explicativo sobre las cifras conciliadas.")</f>
        <v>A la conciliación mensual entre Cuentas por Cobrar y Contabilidad, se le anexa soporte explicativo sobre las cifras conciliadas.</v>
      </c>
      <c r="F11" s="0" t="str">
        <f aca="false">IFERROR(__xludf.dummyfunction("""COMPUTED_VALUE"""),"Completo")</f>
        <v>Completo</v>
      </c>
      <c r="G11" s="20" t="str">
        <f aca="false">IFERROR(__xludf.dummyfunction("""COMPUTED_VALUE"""),"https://drive.google.com/open?id=1OCFby2Am-zzA5EfgGkOo5AF5gbLkDB1d")</f>
        <v>https://drive.google.com/open?id=1OCFby2Am-zzA5EfgGkOo5AF5gbLkDB1d</v>
      </c>
    </row>
    <row r="12" customFormat="false" ht="15" hidden="false" customHeight="true" outlineLevel="0" collapsed="false">
      <c r="A12" s="18" t="str">
        <f aca="false">IFERROR(MID(D12,1,FIND("|",D12)-1)&amp;"-"&amp;C12,"")</f>
        <v>AICI201910-7-1-1</v>
      </c>
      <c r="B12" s="19" t="n">
        <f aca="false">IFERROR(__xludf.dummyfunction("""COMPUTED_VALUE"""),44047)</f>
        <v>44047</v>
      </c>
      <c r="C12" s="0" t="n">
        <f aca="false">IFERROR(__xludf.dummyfunction("""COMPUTED_VALUE"""),1)</f>
        <v>1</v>
      </c>
      <c r="D12" s="0" t="str">
        <f aca="false">IFERROR(__xludf.dummyfunction("""COMPUTED_VALUE"""),"AICI201910-7-1| Implementar formato que permita interpretacion de las cuentas contables que no se conciliacian con con el area de cuentas por pagar y que a la vez permita verificar la coincidencia de los estados financieros y la totalidad de las cuentas p"&amp;"or pagar. (01/02/2020 - 31/03/2020)")</f>
        <v>AICI201910-7-1| Implementar formato que permita interpretacion de las cuentas contables que no se conciliacian con con el area de cuentas por pagar y que a la vez permita verificar la coincidencia de los estados financieros y la totalidad de las cuentas por pagar. (01/02/2020 - 31/03/2020)</v>
      </c>
      <c r="E12" s="0" t="str">
        <f aca="false">IFERROR(__xludf.dummyfunction("""COMPUTED_VALUE"""),"A la conciliación mensual entre Cuentas por Pagar y Contabilidad, se le anexa soporte explicativo sobre las cifras conciliadas.")</f>
        <v>A la conciliación mensual entre Cuentas por Pagar y Contabilidad, se le anexa soporte explicativo sobre las cifras conciliadas.</v>
      </c>
      <c r="F12" s="0" t="str">
        <f aca="false">IFERROR(__xludf.dummyfunction("""COMPUTED_VALUE"""),"Completo")</f>
        <v>Completo</v>
      </c>
      <c r="G12" s="0" t="str">
        <f aca="false">IFERROR(__xludf.dummyfunction("""COMPUTED_VALUE"""),"https://drive.google.com/open?id=1bEk0Brc6gVCW_a_woiPZmYNJrqQAazI0, https://drive.google.com/open?id=10iszEKUzYvoPPM_QNk7jQHcDDt-SKCCQ")</f>
        <v>https://drive.google.com/open?id=1bEk0Brc6gVCW_a_woiPZmYNJrqQAazI0, https://drive.google.com/open?id=10iszEKUzYvoPPM_QNk7jQHcDDt-SKCCQ</v>
      </c>
    </row>
    <row r="13" customFormat="false" ht="15" hidden="false" customHeight="true" outlineLevel="0" collapsed="false">
      <c r="A13" s="18" t="str">
        <f aca="false">IFERROR(MID(D13,1,FIND("|",D13)-1)&amp;"-"&amp;C13,"")</f>
        <v>AICI201910-8-1-1</v>
      </c>
      <c r="B13" s="19" t="n">
        <f aca="false">IFERROR(__xludf.dummyfunction("""COMPUTED_VALUE"""),44047)</f>
        <v>44047</v>
      </c>
      <c r="C13" s="0" t="n">
        <f aca="false">IFERROR(__xludf.dummyfunction("""COMPUTED_VALUE"""),1)</f>
        <v>1</v>
      </c>
      <c r="D13" s="0" t="str">
        <f aca="false">IFERROR(__xludf.dummyfunction("""COMPUTED_VALUE"""),"AICI201910-8-1| Actualizacion del instructivo de incapacidades teniendo en cuenta la implementacion de nuevo software de nomina. (01/02/2020 - 31/03/2020)")</f>
        <v>AICI201910-8-1| Actualizacion del instructivo de incapacidades teniendo en cuenta la implementacion de nuevo software de nomina. (01/02/2020 - 31/03/2020)</v>
      </c>
      <c r="E13" s="0" t="str">
        <f aca="false">IFERROR(__xludf.dummyfunction("""COMPUTED_VALUE"""),"A la fecha se estableció un proceso provisional, debido a que el sistema de información de Sinergys se encuentra en periodo de implementación. La actualización del instructivo de incapacidades esta pendiente por definirse.")</f>
        <v>A la fecha se estableció un proceso provisional, debido a que el sistema de información de Sinergys se encuentra en periodo de implementación. La actualización del instructivo de incapacidades esta pendiente por definirse.</v>
      </c>
      <c r="F13" s="0" t="str">
        <f aca="false">IFERROR(__xludf.dummyfunction("""COMPUTED_VALUE"""),"En desarrollo")</f>
        <v>En desarrollo</v>
      </c>
    </row>
    <row r="14" customFormat="false" ht="15" hidden="false" customHeight="true" outlineLevel="0" collapsed="false">
      <c r="A14" s="18" t="str">
        <f aca="false">IFERROR(MID(D14,1,FIND("|",D14)-1)&amp;"-"&amp;C14,"")</f>
        <v>AICI201910-9-1-1</v>
      </c>
      <c r="B14" s="19" t="n">
        <f aca="false">IFERROR(__xludf.dummyfunction("""COMPUTED_VALUE"""),44047)</f>
        <v>44047</v>
      </c>
      <c r="C14" s="0" t="n">
        <f aca="false">IFERROR(__xludf.dummyfunction("""COMPUTED_VALUE"""),1)</f>
        <v>1</v>
      </c>
      <c r="D14" s="0" t="str">
        <f aca="false">IFERROR(__xludf.dummyfunction("""COMPUTED_VALUE"""),"AICI201910-9-1| Diseñar un plan conjunto con las ares involucradas en el proceso contable. (01/02/2020 - 31/03/2020)")</f>
        <v>AICI201910-9-1| Diseñar un plan conjunto con las ares involucradas en el proceso contable. (01/02/2020 - 31/03/2020)</v>
      </c>
      <c r="E14" s="0" t="str">
        <f aca="false">IFERROR(__xludf.dummyfunction("""COMPUTED_VALUE"""),"Mediante comité de saneamiento contable realizado en el mes de marzo de 2020, según acta No.14-2020, se expuso por parte del área contable el plan de sostenibilidad contable.
Este plan diseñado en forma conjunta con la áreas involucradas en el proceso con"&amp;"table debe ser aprobado y puesto en marcha, indicando los avances obtenidos, medidos en forma cuantitativa y cualitativa.
")</f>
        <v>Mediante comité de saneamiento contable realizado en el mes de marzo de 2020, según acta No.14-2020, se expuso por parte del área contable el plan de sostenibilidad contable.
Este plan diseñado en forma conjunta con la áreas involucradas en el proceso contable debe ser aprobado y puesto en marcha, indicando los avances obtenidos, medidos en forma cuantitativa y cualitativa.
</v>
      </c>
      <c r="F14" s="0" t="str">
        <f aca="false">IFERROR(__xludf.dummyfunction("""COMPUTED_VALUE"""),"Atrasado")</f>
        <v>Atrasado</v>
      </c>
      <c r="G14" s="20" t="str">
        <f aca="false">IFERROR(__xludf.dummyfunction("""COMPUTED_VALUE"""),"https://drive.google.com/open?id=1sucCCYN19RyYg4nVsJ9cmm1QG3MfP9sZ")</f>
        <v>https://drive.google.com/open?id=1sucCCYN19RyYg4nVsJ9cmm1QG3MfP9sZ</v>
      </c>
    </row>
    <row r="15" customFormat="false" ht="15" hidden="false" customHeight="true" outlineLevel="0" collapsed="false">
      <c r="A15" s="18" t="str">
        <f aca="false">IFERROR(MID(D15,1,FIND("|",D15)-1)&amp;"-"&amp;C15,"")</f>
        <v>AICI201910-9-1-2</v>
      </c>
      <c r="B15" s="19" t="n">
        <f aca="false">IFERROR(__xludf.dummyfunction("""COMPUTED_VALUE"""),44316)</f>
        <v>44316</v>
      </c>
      <c r="C15" s="0" t="n">
        <f aca="false">IFERROR(__xludf.dummyfunction("""COMPUTED_VALUE"""),2)</f>
        <v>2</v>
      </c>
      <c r="D15" s="0" t="str">
        <f aca="false">IFERROR(__xludf.dummyfunction("""COMPUTED_VALUE"""),"AICI201910-9-1| Diseñar un plan conjunto con las ares involucradas en el proceso contable. (01/02/2020 - 31/03/2020)")</f>
        <v>AICI201910-9-1| Diseñar un plan conjunto con las ares involucradas en el proceso contable. (01/02/2020 - 31/03/2020)</v>
      </c>
      <c r="E15" s="0" t="str">
        <f aca="false">IFERROR(__xludf.dummyfunction("""COMPUTED_VALUE"""),"Se diseño el Plan de Sostenibilidad Contable. Se recomienda su correcto actualización y seguimiento.")</f>
        <v>Se diseño el Plan de Sostenibilidad Contable. Se recomienda su correcto actualización y seguimiento.</v>
      </c>
      <c r="F15" s="0" t="str">
        <f aca="false">IFERROR(__xludf.dummyfunction("""COMPUTED_VALUE"""),"Completo")</f>
        <v>Completo</v>
      </c>
      <c r="G15" s="0" t="str">
        <f aca="false">IFERROR(__xludf.dummyfunction("""COMPUTED_VALUE"""),"https://drive.google.com/open?id=1KXFQHXeEErTByPdCOQRBYxhEL8dQe0u9, https://drive.google.com/open?id=1SNJxLSTY3-BH6MKlefXNE2mtC8YH5u3H")</f>
        <v>https://drive.google.com/open?id=1KXFQHXeEErTByPdCOQRBYxhEL8dQe0u9, https://drive.google.com/open?id=1SNJxLSTY3-BH6MKlefXNE2mtC8YH5u3H</v>
      </c>
    </row>
    <row r="16" customFormat="false" ht="15" hidden="false" customHeight="true" outlineLevel="0" collapsed="false">
      <c r="A16" s="18" t="str">
        <f aca="false">IFERROR(MID(D16,1,FIND("|",D16)-1)&amp;"-"&amp;C16,"")</f>
        <v>AICI201910-4-1-2</v>
      </c>
      <c r="B16" s="19" t="n">
        <f aca="false">IFERROR(__xludf.dummyfunction("""COMPUTED_VALUE"""),44316)</f>
        <v>44316</v>
      </c>
      <c r="C16" s="0" t="n">
        <f aca="false">IFERROR(__xludf.dummyfunction("""COMPUTED_VALUE"""),2)</f>
        <v>2</v>
      </c>
      <c r="D16" s="0" t="str">
        <f aca="false">IFERROR(__xludf.dummyfunction("""COMPUTED_VALUE"""),"AICI201910-4-1| Garantizar que los comprobantes elaborados en el modulo de contabilidad contenga soporte fisico que justifica la elaboracion de este. (01/02/2020 - 31/03/2020)")</f>
        <v>AICI201910-4-1| Garantizar que los comprobantes elaborados en el modulo de contabilidad contenga soporte fisico que justifica la elaboracion de este. (01/02/2020 - 31/03/2020)</v>
      </c>
      <c r="E16" s="0" t="str">
        <f aca="false">IFERROR(__xludf.dummyfunction("""COMPUTED_VALUE"""),"Teniendo en cuenta que la acción propuesta es: Garantizar que los comprobantes elaborados en el modulo de contabilidad contenga soporte físico que justifique su elaboración; El área de Contabilidad reporta que actualmente para evitar que se presente estos"&amp;" inconvenientes y con el fin de garantizar la generación del comprobante, una vez generado los soportes son escaneados y se conservan en medio magnético. Sin embargo se deja la observación que NO se ha resuelto el embargo de los recursos con destinación e"&amp;"specífica al convenio 1203.")</f>
        <v>Teniendo en cuenta que la acción propuesta es: Garantizar que los comprobantes elaborados en el modulo de contabilidad contenga soporte físico que justifique su elaboración; El área de Contabilidad reporta que actualmente para evitar que se presente estos inconvenientes y con el fin de garantizar la generación del comprobante, una vez generado los soportes son escaneados y se conservan en medio magnético. Sin embargo se deja la observación que NO se ha resuelto el embargo de los recursos con destinación específica al convenio 1203.</v>
      </c>
      <c r="F16" s="0" t="str">
        <f aca="false">IFERROR(__xludf.dummyfunction("""COMPUTED_VALUE"""),"Completo")</f>
        <v>Completo</v>
      </c>
      <c r="G16" s="0" t="str">
        <f aca="false">IFERROR(__xludf.dummyfunction("""COMPUTED_VALUE"""),"https://drive.google.com/open?id=1p709trkk7aN2HBp2o17WDKnIgn7rOoRm, https://drive.google.com/open?id=1M94iqKupKQDMgS_gb0rKuitw8mJVn6RU, https://drive.google.com/open?id=1MnioyWyyCO-azhPR8bvGn4_7kkR9GJtd, https://drive.google.com/open?id=1H7lHsLx22RKRvAVlA"&amp;"8zjYI6VqlMR9_8M")</f>
        <v>https://drive.google.com/open?id=1p709trkk7aN2HBp2o17WDKnIgn7rOoRm, https://drive.google.com/open?id=1M94iqKupKQDMgS_gb0rKuitw8mJVn6RU, https://drive.google.com/open?id=1MnioyWyyCO-azhPR8bvGn4_7kkR9GJtd, https://drive.google.com/open?id=1H7lHsLx22RKRvAVlA8zjYI6VqlMR9_8M</v>
      </c>
    </row>
    <row r="17" customFormat="false" ht="15" hidden="false" customHeight="true" outlineLevel="0" collapsed="false">
      <c r="A17" s="18" t="str">
        <f aca="false">IFERROR(MID(D17,1,FIND("|",D17)-1)&amp;"-"&amp;C17,"")</f>
        <v>AICI201910-8-1-2</v>
      </c>
      <c r="B17" s="19" t="n">
        <f aca="false">IFERROR(__xludf.dummyfunction("""COMPUTED_VALUE"""),44316)</f>
        <v>44316</v>
      </c>
      <c r="C17" s="0" t="n">
        <f aca="false">IFERROR(__xludf.dummyfunction("""COMPUTED_VALUE"""),2)</f>
        <v>2</v>
      </c>
      <c r="D17" s="0" t="str">
        <f aca="false">IFERROR(__xludf.dummyfunction("""COMPUTED_VALUE"""),"AICI201910-8-1| Actualizacion del instructivo de incapacidades teniendo en cuenta la implementacion de nuevo software de nomina. (01/02/2020 - 31/03/2020)")</f>
        <v>AICI201910-8-1| Actualizacion del instructivo de incapacidades teniendo en cuenta la implementacion de nuevo software de nomina. (01/02/2020 - 31/03/2020)</v>
      </c>
      <c r="E17" s="0" t="str">
        <f aca="false">IFERROR(__xludf.dummyfunction("""COMPUTED_VALUE"""),"No se ha  determinado un mecanismo y/o instructivo para el manejo adecuado de las incapacidades, lo cual es preocupante por el incremento de los valores a depurar por este concepto, sin la determinación de un procedimiento y/o instructivo ")</f>
        <v>No se ha  determinado un mecanismo y/o instructivo para el manejo adecuado de las incapacidades, lo cual es preocupante por el incremento de los valores a depurar por este concepto, sin la determinación de un procedimiento y/o instructivo </v>
      </c>
      <c r="F17" s="0" t="str">
        <f aca="false">IFERROR(__xludf.dummyfunction("""COMPUTED_VALUE"""),"Atrasado")</f>
        <v>Atrasado</v>
      </c>
    </row>
    <row r="18" customFormat="false" ht="15" hidden="false" customHeight="true" outlineLevel="0" collapsed="false">
      <c r="A18" s="18" t="str">
        <f aca="false">IFERROR(MID(D18,1,FIND("|",D18)-1)&amp;"-"&amp;C18,"")</f>
        <v>AICI201910-8-1-3</v>
      </c>
      <c r="B18" s="19" t="n">
        <f aca="false">IFERROR(__xludf.dummyfunction("""COMPUTED_VALUE"""),44568)</f>
        <v>44568</v>
      </c>
      <c r="C18" s="0" t="n">
        <f aca="false">IFERROR(__xludf.dummyfunction("""COMPUTED_VALUE"""),3)</f>
        <v>3</v>
      </c>
      <c r="D18" s="0" t="str">
        <f aca="false">IFERROR(__xludf.dummyfunction("""COMPUTED_VALUE"""),"AICI201910-8-1| Actualizacion del instructivo de incapacidades teniendo en cuenta la implementacion de nuevo software de nomina. (01/02/2020 - 31/03/2020)")</f>
        <v>AICI201910-8-1| Actualizacion del instructivo de incapacidades teniendo en cuenta la implementacion de nuevo software de nomina. (01/02/2020 - 31/03/2020)</v>
      </c>
      <c r="E18" s="0" t="str">
        <f aca="false">IFERROR(__xludf.dummyfunction("""COMPUTED_VALUE"""),"Se evidencia el diseño y formalización en control documental del instructivo de incapacidades código AP-TH-I-24-03")</f>
        <v>Se evidencia el diseño y formalización en control documental del instructivo de incapacidades código AP-TH-I-24-03</v>
      </c>
      <c r="F18" s="0" t="str">
        <f aca="false">IFERROR(__xludf.dummyfunction("""COMPUTED_VALUE"""),"Completo")</f>
        <v>Completo</v>
      </c>
      <c r="G18" s="20" t="str">
        <f aca="false">IFERROR(__xludf.dummyfunction("""COMPUTED_VALUE"""),"https://drive.google.com/open?id=1LmROxDXh2p3kbC-Vwnu0-g4VaO3YeQFt")</f>
        <v>https://drive.google.com/open?id=1LmROxDXh2p3kbC-Vwnu0-g4VaO3YeQFt</v>
      </c>
    </row>
    <row r="19" customFormat="false" ht="15" hidden="false" customHeight="true" outlineLevel="0" collapsed="false">
      <c r="A19" s="18" t="str">
        <f aca="false">IFERROR(MID(D19,1,FIND("|",D19)-1)&amp;"-"&amp;C19,"")</f>
        <v/>
      </c>
    </row>
    <row r="20" customFormat="false" ht="15" hidden="false" customHeight="true" outlineLevel="0" collapsed="false">
      <c r="A20" s="18" t="str">
        <f aca="false">IFERROR(MID(D20,1,FIND("|",D20)-1)&amp;"-"&amp;C20,"")</f>
        <v/>
      </c>
    </row>
    <row r="21" customFormat="false" ht="15" hidden="false" customHeight="true" outlineLevel="0" collapsed="false">
      <c r="A21" s="18" t="str">
        <f aca="false">IFERROR(MID(D21,1,FIND("|",D21)-1)&amp;"-"&amp;C21,"")</f>
        <v/>
      </c>
    </row>
    <row r="22" customFormat="false" ht="15" hidden="false" customHeight="true" outlineLevel="0" collapsed="false">
      <c r="A22" s="18" t="str">
        <f aca="false">IFERROR(MID(D22,1,FIND("|",D22)-1)&amp;"-"&amp;C22,"")</f>
        <v/>
      </c>
    </row>
    <row r="23" customFormat="false" ht="15" hidden="false" customHeight="true" outlineLevel="0" collapsed="false">
      <c r="A23" s="18" t="str">
        <f aca="false">IFERROR(MID(D23,1,FIND("|",D23)-1)&amp;"-"&amp;C23,"")</f>
        <v/>
      </c>
    </row>
    <row r="24" customFormat="false" ht="15" hidden="false" customHeight="true" outlineLevel="0" collapsed="false">
      <c r="A24" s="18" t="str">
        <f aca="false">IFERROR(MID(D24,1,FIND("|",D24)-1)&amp;"-"&amp;C24,"")</f>
        <v/>
      </c>
    </row>
    <row r="25" customFormat="false" ht="15" hidden="false" customHeight="true" outlineLevel="0" collapsed="false">
      <c r="A25" s="18" t="str">
        <f aca="false">IFERROR(MID(D25,1,FIND("|",D25)-1)&amp;"-"&amp;C25,"")</f>
        <v/>
      </c>
    </row>
    <row r="26" customFormat="false" ht="15" hidden="false" customHeight="true" outlineLevel="0" collapsed="false">
      <c r="A26" s="18" t="str">
        <f aca="false">IFERROR(MID(D26,1,FIND("|",D26)-1)&amp;"-"&amp;C26,"")</f>
        <v/>
      </c>
    </row>
    <row r="27" customFormat="false" ht="15" hidden="false" customHeight="true" outlineLevel="0" collapsed="false">
      <c r="A27" s="18" t="str">
        <f aca="false">IFERROR(MID(D27,1,FIND("|",D27)-1)&amp;"-"&amp;C27,"")</f>
        <v/>
      </c>
    </row>
    <row r="28" customFormat="false" ht="15" hidden="false" customHeight="true" outlineLevel="0" collapsed="false">
      <c r="A28" s="18" t="str">
        <f aca="false">IFERROR(MID(D28,1,FIND("|",D28)-1)&amp;"-"&amp;C28,"")</f>
        <v/>
      </c>
    </row>
    <row r="29" customFormat="false" ht="15" hidden="false" customHeight="true" outlineLevel="0" collapsed="false">
      <c r="A29" s="18" t="str">
        <f aca="false">IFERROR(MID(D29,1,FIND("|",D29)-1)&amp;"-"&amp;C29,"")</f>
        <v/>
      </c>
    </row>
    <row r="30" customFormat="false" ht="15" hidden="false" customHeight="true" outlineLevel="0" collapsed="false">
      <c r="A30" s="18" t="str">
        <f aca="false">IFERROR(MID(D30,1,FIND("|",D30)-1)&amp;"-"&amp;C30,"")</f>
        <v/>
      </c>
    </row>
    <row r="31" customFormat="false" ht="15" hidden="false" customHeight="true" outlineLevel="0" collapsed="false">
      <c r="A31" s="18" t="str">
        <f aca="false">IFERROR(MID(D31,1,FIND("|",D31)-1)&amp;"-"&amp;C31,"")</f>
        <v/>
      </c>
    </row>
    <row r="32" customFormat="false" ht="15" hidden="false" customHeight="true" outlineLevel="0" collapsed="false">
      <c r="A32" s="18" t="str">
        <f aca="false">IFERROR(MID(D32,1,FIND("|",D32)-1)&amp;"-"&amp;C32,"")</f>
        <v/>
      </c>
    </row>
    <row r="33" customFormat="false" ht="15" hidden="false" customHeight="true" outlineLevel="0" collapsed="false">
      <c r="A33" s="18" t="str">
        <f aca="false">IFERROR(MID(D33,1,FIND("|",D33)-1)&amp;"-"&amp;C33,"")</f>
        <v/>
      </c>
    </row>
    <row r="34" customFormat="false" ht="15" hidden="false" customHeight="true" outlineLevel="0" collapsed="false">
      <c r="A34" s="18" t="str">
        <f aca="false">IFERROR(MID(D34,1,FIND("|",D34)-1)&amp;"-"&amp;C34,"")</f>
        <v/>
      </c>
    </row>
    <row r="35" customFormat="false" ht="15" hidden="false" customHeight="true" outlineLevel="0" collapsed="false">
      <c r="A35" s="18" t="str">
        <f aca="false">IFERROR(MID(D35,1,FIND("|",D35)-1)&amp;"-"&amp;C35,"")</f>
        <v/>
      </c>
    </row>
    <row r="36" customFormat="false" ht="15" hidden="false" customHeight="true" outlineLevel="0" collapsed="false">
      <c r="A36" s="18" t="str">
        <f aca="false">IFERROR(MID(D36,1,FIND("|",D36)-1)&amp;"-"&amp;C36,"")</f>
        <v/>
      </c>
    </row>
    <row r="37" customFormat="false" ht="15" hidden="false" customHeight="true" outlineLevel="0" collapsed="false">
      <c r="A37" s="18" t="str">
        <f aca="false">IFERROR(MID(D37,1,FIND("|",D37)-1)&amp;"-"&amp;C37,"")</f>
        <v/>
      </c>
    </row>
    <row r="38" customFormat="false" ht="15" hidden="false" customHeight="true" outlineLevel="0" collapsed="false">
      <c r="A38" s="18" t="str">
        <f aca="false">IFERROR(MID(D38,1,FIND("|",D38)-1)&amp;"-"&amp;C38,"")</f>
        <v/>
      </c>
    </row>
    <row r="39" customFormat="false" ht="15" hidden="false" customHeight="true" outlineLevel="0" collapsed="false">
      <c r="A39" s="18" t="str">
        <f aca="false">IFERROR(MID(D39,1,FIND("|",D39)-1)&amp;"-"&amp;C39,"")</f>
        <v/>
      </c>
    </row>
    <row r="40" customFormat="false" ht="15" hidden="false" customHeight="tru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row r="1000" customFormat="false" ht="14.25" hidden="false" customHeight="false" outlineLevel="0" collapsed="false">
      <c r="A1000" s="18" t="str">
        <f aca="false">IFERROR(MID(D1000,1,FIND("|",D1000)-1)&amp;"-"&amp;C1000,"")</f>
        <v/>
      </c>
    </row>
  </sheetData>
  <hyperlinks>
    <hyperlink ref="G4" r:id="rId1" display="https://drive.google.com/open?id=1-aqlcUacwKAdwsDnt9rFPQhadDXH_9OL"/>
    <hyperlink ref="G5" r:id="rId2" display="https://drive.google.com/open?id=1XdfBxC8IiqcQGrhxmc3q0zDwiC4z1LzM"/>
    <hyperlink ref="G6" r:id="rId3" display="https://drive.google.com/open?id=1JWL3tpFcLYW8li_2cVIenlNKtbTYa0rq"/>
    <hyperlink ref="G7" r:id="rId4" display="https://drive.google.com/open?id=1WI6_N1r10QXeI1JC3ka3xvKaBsyo5oX9"/>
    <hyperlink ref="G8" r:id="rId5" display="https://drive.google.com/open?id=1rQXCjA_twyGFNL6Bl3uxM77s3u3bN12d"/>
    <hyperlink ref="G9" r:id="rId6" display="https://drive.google.com/open?id=10RTRF9z1gBEBhJZoactkFg8mRZWqMpGM"/>
    <hyperlink ref="G11" r:id="rId7" display="https://drive.google.com/open?id=1OCFby2Am-zzA5EfgGkOo5AF5gbLkDB1d"/>
    <hyperlink ref="G14" r:id="rId8" display="https://drive.google.com/open?id=1sucCCYN19RyYg4nVsJ9cmm1QG3MfP9sZ"/>
    <hyperlink ref="G18" r:id="rId9" display="https://drive.google.com/open?id=1LmROxDXh2p3kbC-Vwnu0-g4VaO3YeQFt"/>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6.42"/>
  </cols>
  <sheetData>
    <row r="1" customFormat="false" ht="12.75" hidden="false" customHeight="false" outlineLevel="0" collapsed="false">
      <c r="A1" s="13" t="s">
        <v>1826</v>
      </c>
      <c r="B1" s="13" t="s">
        <v>1779</v>
      </c>
      <c r="C1" s="13" t="s">
        <v>1780</v>
      </c>
      <c r="D1" s="13" t="s">
        <v>1781</v>
      </c>
      <c r="E1" s="13" t="s">
        <v>1782</v>
      </c>
      <c r="F1" s="13" t="s">
        <v>1783</v>
      </c>
      <c r="G1" s="13" t="s">
        <v>1784</v>
      </c>
    </row>
    <row r="2" customFormat="false" ht="6.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AICI201911-1-1-1</v>
      </c>
      <c r="B4" s="19" t="n">
        <f aca="false">IFERROR(__xludf.dummyfunction("""COMPUTED_VALUE"""),44027)</f>
        <v>44027</v>
      </c>
      <c r="C4" s="0" t="n">
        <f aca="false">IFERROR(__xludf.dummyfunction("""COMPUTED_VALUE"""),1)</f>
        <v>1</v>
      </c>
      <c r="D4" s="0" t="str">
        <f aca="false">IFERROR(__xludf.dummyfunction("""COMPUTED_VALUE"""),"AICI201911-1-1| Incluir en el Manual de Gestión de la Tecnología la reunión de verificación de planeación y asignación de recursos de inversión de los convenios docente asistencial, así como definir alcance, asistentes, objetivos y periodicidad de reunion"&amp;"es. (15/ene./2020 - 30/mar./2020)")</f>
        <v>AICI201911-1-1| Incluir en el Manual de Gestión de la Tecnología la reunión de verificación de planeación y asignación de recursos de inversión de los convenios docente asistencial, así como definir alcance, asistentes, objetivos y periodicidad de reuniones. (15/ene./2020 - 30/mar./2020)</v>
      </c>
      <c r="E4" s="0" t="str">
        <f aca="false">IFERROR(__xludf.dummyfunction("""COMPUTED_VALUE"""),"1. Incluir en el Manual de Gestión de la Tecnología la reunión de verificación de planeación y asignación de recursos de inversión de los convenios docente asistencial, así como definir alcance, asistentes, objetivos y periodicidad de reuniones. Se verifi"&amp;"co en el manual de Gestión de la Tecnología (AP-AT-M-02-04) versión 4 de fecha 29/06/2020 en el ítem 5.5.2.4. Adquisición de tecnología a través de convenio docencia servicio. Esta acción se cumple al 100%. Se anexan soportes.")</f>
        <v>1. Incluir en el Manual de Gestión de la Tecnología la reunión de verificación de planeación y asignación de recursos de inversión de los convenios docente asistencial, así como definir alcance, asistentes, objetivos y periodicidad de reuniones. Se verifico en el manual de Gestión de la Tecnología (AP-AT-M-02-04) versión 4 de fecha 29/06/2020 en el ítem 5.5.2.4. Adquisición de tecnología a través de convenio docencia servicio. Esta acción se cumple al 100%. Se anexan soportes.</v>
      </c>
      <c r="F4" s="0" t="str">
        <f aca="false">IFERROR(__xludf.dummyfunction("""COMPUTED_VALUE"""),"Completo")</f>
        <v>Completo</v>
      </c>
      <c r="G4" s="20" t="str">
        <f aca="false">IFERROR(__xludf.dummyfunction("""COMPUTED_VALUE"""),"https://drive.google.com/open?id=1aY7LiObavZAXtfxKCxVLgERvP8Dl0SFi")</f>
        <v>https://drive.google.com/open?id=1aY7LiObavZAXtfxKCxVLgERvP8Dl0SFi</v>
      </c>
    </row>
    <row r="5" customFormat="false" ht="14.25" hidden="false" customHeight="false" outlineLevel="0" collapsed="false">
      <c r="A5" s="18" t="str">
        <f aca="false">IFERROR(MID(D5,1,FIND("|",D5)-1)&amp;"-"&amp;C5,"")</f>
        <v>AICI201911-2-1-1</v>
      </c>
      <c r="B5" s="19" t="n">
        <f aca="false">IFERROR(__xludf.dummyfunction("""COMPUTED_VALUE"""),44027)</f>
        <v>44027</v>
      </c>
      <c r="C5" s="0" t="n">
        <f aca="false">IFERROR(__xludf.dummyfunction("""COMPUTED_VALUE"""),1)</f>
        <v>1</v>
      </c>
      <c r="D5" s="0" t="str">
        <f aca="false">IFERROR(__xludf.dummyfunction("""COMPUTED_VALUE"""),"AICI201911-2-1| Revisar mediante concepto técnico expedido por experto, el estado de los bienes devolutivos que se encuentran almacenados en las bodegas y definir su uso y/o disposición final. (15/ene./2020 - 30/mar./2020)")</f>
        <v>AICI201911-2-1| Revisar mediante concepto técnico expedido por experto, el estado de los bienes devolutivos que se encuentran almacenados en las bodegas y definir su uso y/o disposición final. (15/ene./2020 - 30/mar./2020)</v>
      </c>
      <c r="E5" s="0" t="str">
        <f aca="false">IFERROR(__xludf.dummyfunction("""COMPUTED_VALUE"""),"De acuerdo a la auditoria realizada en la vigencia 2019 de los siete equipos y elementos devolutivos que se encontraban en los almacenes de Engativá – Suba y Simón Bolívar que no estaban prestando ningún servicio a la institución se gestionó el retiro de "&amp;"la mayoría de estos bienes devolutivos de las bodegas como se muestra en el acta de seguimiento a las actividades realizadas por almacén.Se anexan soportes de las salidas realizadas desde almacén de los activos mediante los comprobantes. De lo anterior qu"&amp;"eda pendiente dos equipos por concepto técnico. Esta acción se cumple en un 72%. (2 actividades cumplidas y 1 pendiente). ")</f>
        <v>De acuerdo a la auditoria realizada en la vigencia 2019 de los siete equipos y elementos devolutivos que se encontraban en los almacenes de Engativá – Suba y Simón Bolívar que no estaban prestando ningún servicio a la institución se gestionó el retiro de la mayoría de estos bienes devolutivos de las bodegas como se muestra en el acta de seguimiento a las actividades realizadas por almacén.Se anexan soportes de las salidas realizadas desde almacén de los activos mediante los comprobantes. De lo anterior queda pendiente dos equipos por concepto técnico. Esta acción se cumple en un 72%. (2 actividades cumplidas y 1 pendiente). </v>
      </c>
      <c r="F5" s="0" t="str">
        <f aca="false">IFERROR(__xludf.dummyfunction("""COMPUTED_VALUE"""),"Atrasado")</f>
        <v>Atrasado</v>
      </c>
      <c r="G5" s="0" t="str">
        <f aca="false">IFERROR(__xludf.dummyfunction("""COMPUTED_VALUE"""),"https://drive.google.com/open?id=1FbBbrNcBqcBKvnYTmDxatDh1m8WksLjd, https://drive.google.com/open?id=1_r8BK9x1n1hkSsMwSIBAh9qpxFYbcOrY, https://drive.google.com/open?id=1nXWd1yMgInsPSzEe2AqXB4BEuXRhJF_F, https://drive.google.com/open?id=16T_XbTzjjM_FolDs0"&amp;"v2X6XKrxYRCu9nw, https://drive.google.com/open?id=1Lfbk_F-A_sULvMFkVAsPYeMIXQCeSSVV")</f>
        <v>https://drive.google.com/open?id=1FbBbrNcBqcBKvnYTmDxatDh1m8WksLjd, https://drive.google.com/open?id=1_r8BK9x1n1hkSsMwSIBAh9qpxFYbcOrY, https://drive.google.com/open?id=1nXWd1yMgInsPSzEe2AqXB4BEuXRhJF_F, https://drive.google.com/open?id=16T_XbTzjjM_FolDs0v2X6XKrxYRCu9nw, https://drive.google.com/open?id=1Lfbk_F-A_sULvMFkVAsPYeMIXQCeSSVV</v>
      </c>
    </row>
    <row r="6" customFormat="false" ht="14.25" hidden="false" customHeight="false" outlineLevel="0" collapsed="false">
      <c r="A6" s="18" t="str">
        <f aca="false">IFERROR(MID(D6,1,FIND("|",D6)-1)&amp;"-"&amp;C6,"")</f>
        <v>AICI201911-3-1-1</v>
      </c>
      <c r="B6" s="19" t="n">
        <f aca="false">IFERROR(__xludf.dummyfunction("""COMPUTED_VALUE"""),44027)</f>
        <v>44027</v>
      </c>
      <c r="C6" s="0" t="n">
        <f aca="false">IFERROR(__xludf.dummyfunction("""COMPUTED_VALUE"""),1)</f>
        <v>1</v>
      </c>
      <c r="D6" s="0" t="str">
        <f aca="false">IFERROR(__xludf.dummyfunction("""COMPUTED_VALUE"""),"AICI201911-3-1| Definir dos indicadores de gestión para el almacén. (15/ene./2020 - 30/mar./2020)")</f>
        <v>AICI201911-3-1| Definir dos indicadores de gestión para el almacén. (15/ene./2020 - 30/mar./2020)</v>
      </c>
      <c r="E6" s="0" t="str">
        <f aca="false">IFERROR(__xludf.dummyfunction("""COMPUTED_VALUE"""),"Se establecieron dos indicadores de control en almacén los cuales tienen medicion anual, una vez se adelante el proceso de verificación de inventarios
1. Vigencia de productos: Porcentaje de productos vencidos, dañados o deteriorados: 
PVD: Total inventar"&amp;"io/productos vencidos, deteriorados o dañados *100
2. Consistencia de inventario físico con teórico:
CI= inventario físico/inventario teórico*100")</f>
        <v>Se establecieron dos indicadores de control en almacén los cuales tienen medicion anual, una vez se adelante el proceso de verificación de inventarios
1. Vigencia de productos: Porcentaje de productos vencidos, dañados o deteriorados: 
PVD: Total inventario/productos vencidos, deteriorados o dañados *100
2. Consistencia de inventario físico con teórico:
CI= inventario físico/inventario teórico*100</v>
      </c>
      <c r="F6" s="0" t="str">
        <f aca="false">IFERROR(__xludf.dummyfunction("""COMPUTED_VALUE"""),"Completo")</f>
        <v>Completo</v>
      </c>
      <c r="G6" s="20" t="str">
        <f aca="false">IFERROR(__xludf.dummyfunction("""COMPUTED_VALUE"""),"https://drive.google.com/open?id=1TkGiti-_nA3PZ78PNcdCzDINGgEqrqKp")</f>
        <v>https://drive.google.com/open?id=1TkGiti-_nA3PZ78PNcdCzDINGgEqrqKp</v>
      </c>
    </row>
    <row r="7" customFormat="false" ht="14.25" hidden="false" customHeight="false" outlineLevel="0" collapsed="false">
      <c r="A7" s="18" t="str">
        <f aca="false">IFERROR(MID(D7,1,FIND("|",D7)-1)&amp;"-"&amp;C7,"")</f>
        <v>AICI201911-2-1-2</v>
      </c>
      <c r="B7" s="19" t="n">
        <f aca="false">IFERROR(__xludf.dummyfunction("""COMPUTED_VALUE"""),44337)</f>
        <v>44337</v>
      </c>
      <c r="C7" s="0" t="n">
        <f aca="false">IFERROR(__xludf.dummyfunction("""COMPUTED_VALUE"""),2)</f>
        <v>2</v>
      </c>
      <c r="D7" s="0" t="str">
        <f aca="false">IFERROR(__xludf.dummyfunction("""COMPUTED_VALUE"""),"AICI201911-2-1| Revisar mediante concepto técnico expedido por experto, el estado de los bienes devolutivos que se encuentran almacenados en las bodegas y definir su uso y/o disposición final. (15/ene./2020 - 30/mar./2020)")</f>
        <v>AICI201911-2-1| Revisar mediante concepto técnico expedido por experto, el estado de los bienes devolutivos que se encuentran almacenados en las bodegas y definir su uso y/o disposición final. (15/ene./2020 - 30/mar./2020)</v>
      </c>
      <c r="E7" s="0" t="str">
        <f aca="false">IFERROR(__xludf.dummyfunction("""COMPUTED_VALUE"""),"Esta acción referente a equipos y elementos devolutivos que se encontraban en los almacenes de Engativá – Suba y Simón Bolívar que no estaban prestando ningún servicio a la institución estaban pendientes dos equipos por concepto técnico, se anexa los resp"&amp;"ectivos soportes de salida de almacén. Esta acción se cumple en un 100%. (Se cumple las 3 actividades de este plan.)")</f>
        <v>Esta acción referente a equipos y elementos devolutivos que se encontraban en los almacenes de Engativá – Suba y Simón Bolívar que no estaban prestando ningún servicio a la institución estaban pendientes dos equipos por concepto técnico, se anexa los respectivos soportes de salida de almacén. Esta acción se cumple en un 100%. (Se cumple las 3 actividades de este plan.)</v>
      </c>
      <c r="F7" s="0" t="str">
        <f aca="false">IFERROR(__xludf.dummyfunction("""COMPUTED_VALUE"""),"Completo")</f>
        <v>Completo</v>
      </c>
      <c r="G7" s="20" t="str">
        <f aca="false">IFERROR(__xludf.dummyfunction("""COMPUTED_VALUE"""),"https://drive.google.com/open?id=1zCURsoyt3HrThhAzkteQI-O2MpnFnLyx")</f>
        <v>https://drive.google.com/open?id=1zCURsoyt3HrThhAzkteQI-O2MpnFnLyx</v>
      </c>
    </row>
    <row r="8" customFormat="false" ht="14.25" hidden="false" customHeight="false" outlineLevel="0" collapsed="false">
      <c r="A8" s="18" t="str">
        <f aca="false">IFERROR(MID(D8,1,FIND("|",D8)-1)&amp;"-"&amp;C8,"")</f>
        <v/>
      </c>
    </row>
    <row r="9" customFormat="false" ht="14.25" hidden="false" customHeight="false" outlineLevel="0" collapsed="false">
      <c r="A9" s="18" t="str">
        <f aca="false">IFERROR(MID(D9,1,FIND("|",D9)-1)&amp;"-"&amp;C9,"")</f>
        <v/>
      </c>
    </row>
    <row r="10" customFormat="false" ht="14.25" hidden="false" customHeight="false" outlineLevel="0" collapsed="false">
      <c r="A10" s="18" t="str">
        <f aca="false">IFERROR(MID(D10,1,FIND("|",D10)-1)&amp;"-"&amp;C10,"")</f>
        <v/>
      </c>
    </row>
    <row r="11" customFormat="false" ht="14.25" hidden="false" customHeight="false" outlineLevel="0" collapsed="false">
      <c r="A11" s="18" t="str">
        <f aca="false">IFERROR(MID(D11,1,FIND("|",D11)-1)&amp;"-"&amp;C11,"")</f>
        <v/>
      </c>
    </row>
    <row r="12" customFormat="false" ht="14.25" hidden="false" customHeight="false" outlineLevel="0" collapsed="false">
      <c r="A12" s="18" t="str">
        <f aca="false">IFERROR(MID(D12,1,FIND("|",D12)-1)&amp;"-"&amp;C12,"")</f>
        <v/>
      </c>
    </row>
    <row r="13" customFormat="false" ht="14.25" hidden="false" customHeight="false" outlineLevel="0" collapsed="false">
      <c r="A13" s="18" t="str">
        <f aca="false">IFERROR(MID(D13,1,FIND("|",D13)-1)&amp;"-"&amp;C13,"")</f>
        <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row r="1000" customFormat="false" ht="14.25" hidden="false" customHeight="false" outlineLevel="0" collapsed="false">
      <c r="A1000" s="18" t="str">
        <f aca="false">IFERROR(MID(D1000,1,FIND("|",D1000)-1)&amp;"-"&amp;C1000,"")</f>
        <v/>
      </c>
    </row>
  </sheetData>
  <hyperlinks>
    <hyperlink ref="G4" r:id="rId1" display="https://drive.google.com/open?id=1aY7LiObavZAXtfxKCxVLgERvP8Dl0SFi"/>
    <hyperlink ref="G6" r:id="rId2" display="https://drive.google.com/open?id=1TkGiti-_nA3PZ78PNcdCzDINGgEqrqKp"/>
    <hyperlink ref="G7" r:id="rId3" display="https://drive.google.com/open?id=1zCURsoyt3HrThhAzkteQI-O2MpnFnLyx"/>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6.42"/>
  </cols>
  <sheetData>
    <row r="1" customFormat="false" ht="12.75" hidden="false" customHeight="false" outlineLevel="0" collapsed="false">
      <c r="A1" s="13" t="s">
        <v>1827</v>
      </c>
      <c r="B1" s="13" t="s">
        <v>1779</v>
      </c>
      <c r="C1" s="13" t="s">
        <v>1780</v>
      </c>
      <c r="D1" s="13" t="s">
        <v>1781</v>
      </c>
      <c r="E1" s="13" t="s">
        <v>1782</v>
      </c>
      <c r="F1" s="13" t="s">
        <v>1783</v>
      </c>
      <c r="G1" s="13" t="s">
        <v>1784</v>
      </c>
    </row>
    <row r="2" customFormat="false" ht="6.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AICI201909-1-1-1</v>
      </c>
      <c r="B4" s="19" t="n">
        <f aca="false">IFERROR(__xludf.dummyfunction("""COMPUTED_VALUE"""),43922)</f>
        <v>43922</v>
      </c>
      <c r="C4" s="0" t="n">
        <f aca="false">IFERROR(__xludf.dummyfunction("""COMPUTED_VALUE"""),1)</f>
        <v>1</v>
      </c>
      <c r="D4" s="0" t="str">
        <f aca="false">IFERROR(__xludf.dummyfunction("""COMPUTED_VALUE"""),"AICI201909-1-1| Realizar periódicamente auditoría en la tomas de muestras que incluya la verificación de fechas de vencimiento y semaforización de insumos. (02/mar./2020 - 30/oct./2020)")</f>
        <v>AICI201909-1-1| Realizar periódicamente auditoría en la tomas de muestras que incluya la verificación de fechas de vencimiento y semaforización de insumos. (02/mar./2020 - 30/oct./2020)</v>
      </c>
      <c r="E4" s="0" t="str">
        <f aca="false">IFERROR(__xludf.dummyfunction("""COMPUTED_VALUE"""),"No se ha podido iniciar auditorias por la cuarentena y porque se encuentra cerrado la toma de muestras")</f>
        <v>No se ha podido iniciar auditorias por la cuarentena y porque se encuentra cerrado la toma de muestras</v>
      </c>
      <c r="F4" s="0" t="str">
        <f aca="false">IFERROR(__xludf.dummyfunction("""COMPUTED_VALUE"""),"No iniciado")</f>
        <v>No iniciado</v>
      </c>
    </row>
    <row r="5" customFormat="false" ht="14.25" hidden="false" customHeight="false" outlineLevel="0" collapsed="false">
      <c r="A5" s="18" t="str">
        <f aca="false">IFERROR(MID(D5,1,FIND("|",D5)-1)&amp;"-"&amp;C5,"")</f>
        <v>AICI201909-2-1-1</v>
      </c>
      <c r="B5" s="19" t="n">
        <f aca="false">IFERROR(__xludf.dummyfunction("""COMPUTED_VALUE"""),43922)</f>
        <v>43922</v>
      </c>
      <c r="C5" s="0" t="n">
        <f aca="false">IFERROR(__xludf.dummyfunction("""COMPUTED_VALUE"""),1)</f>
        <v>1</v>
      </c>
      <c r="D5" s="0" t="str">
        <f aca="false">IFERROR(__xludf.dummyfunction("""COMPUTED_VALUE"""),"AICI201909-2-1| Dotar con terhmohigrométros al 100% de las tomas de muestras y sitios de almacenamiento de insumos, con el fin de garantizar el control de la temperatura y humedad que repercute en la adecuada gestión de insumos (02/mar./2020 - 08/abr./202"&amp;"0)")</f>
        <v>AICI201909-2-1| Dotar con terhmohigrométros al 100% de las tomas de muestras y sitios de almacenamiento de insumos, con el fin de garantizar el control de la temperatura y humedad que repercute en la adecuada gestión de insumos (02/mar./2020 - 08/abr./2020)</v>
      </c>
      <c r="E5" s="0" t="str">
        <f aca="false">IFERROR(__xludf.dummyfunction("""COMPUTED_VALUE"""),"En el momento no se están tomando muestras de laboratorio debido a la cuarentena")</f>
        <v>En el momento no se están tomando muestras de laboratorio debido a la cuarentena</v>
      </c>
      <c r="F5" s="0" t="str">
        <f aca="false">IFERROR(__xludf.dummyfunction("""COMPUTED_VALUE"""),"No iniciado")</f>
        <v>No iniciado</v>
      </c>
    </row>
    <row r="6" customFormat="false" ht="14.25" hidden="false" customHeight="false" outlineLevel="0" collapsed="false">
      <c r="A6" s="18" t="str">
        <f aca="false">IFERROR(MID(D6,1,FIND("|",D6)-1)&amp;"-"&amp;C6,"")</f>
        <v>AICI201909-3-1-1</v>
      </c>
      <c r="B6" s="19" t="n">
        <f aca="false">IFERROR(__xludf.dummyfunction("""COMPUTED_VALUE"""),43922)</f>
        <v>43922</v>
      </c>
      <c r="C6" s="0" t="n">
        <f aca="false">IFERROR(__xludf.dummyfunction("""COMPUTED_VALUE"""),1)</f>
        <v>1</v>
      </c>
      <c r="D6" s="0" t="str">
        <f aca="false">IFERROR(__xludf.dummyfunction("""COMPUTED_VALUE"""),"AICI201909-3-1| 1, Socialización y medición de adherencia al Manual de toma, transporte, manejo y conservación de muestras para exámenes de laboratorio CÓDIGO: MI-SC-M-01-03 y Manual de Bioseguridad con CÓDIGO: AP-AT-M-03-0 en lo que respecta a las activi"&amp;"dades de consentimiento informado y lavado de manos. (02/mar./2020 - 10/oct./2020)")</f>
        <v>AICI201909-3-1| 1, Socialización y medición de adherencia al Manual de toma, transporte, manejo y conservación de muestras para exámenes de laboratorio CÓDIGO: MI-SC-M-01-03 y Manual de Bioseguridad con CÓDIGO: AP-AT-M-03-0 en lo que respecta a las actividades de consentimiento informado y lavado de manos. (02/mar./2020 - 10/oct./2020)</v>
      </c>
      <c r="E6" s="0" t="str">
        <f aca="false">IFERROR(__xludf.dummyfunction("""COMPUTED_VALUE"""),"Se está socializando el Manual de toma de muestras del laboratorio,se realizó lista de verificación de Bioseguridad")</f>
        <v>Se está socializando el Manual de toma de muestras del laboratorio,se realizó lista de verificación de Bioseguridad</v>
      </c>
      <c r="F6" s="0" t="str">
        <f aca="false">IFERROR(__xludf.dummyfunction("""COMPUTED_VALUE"""),"En desarrollo")</f>
        <v>En desarrollo</v>
      </c>
      <c r="G6" s="0" t="str">
        <f aca="false">IFERROR(__xludf.dummyfunction("""COMPUTED_VALUE"""),"https://drive.google.com/open?id=1EZvwDZc6O9pqrp1u595A0yTS82CIsOPm, https://drive.google.com/open?id=1lau_1tF9yuBlVzmXI69n0DtrEoFkWJGp")</f>
        <v>https://drive.google.com/open?id=1EZvwDZc6O9pqrp1u595A0yTS82CIsOPm, https://drive.google.com/open?id=1lau_1tF9yuBlVzmXI69n0DtrEoFkWJGp</v>
      </c>
    </row>
    <row r="7" customFormat="false" ht="14.25" hidden="false" customHeight="false" outlineLevel="0" collapsed="false">
      <c r="A7" s="18" t="str">
        <f aca="false">IFERROR(MID(D7,1,FIND("|",D7)-1)&amp;"-"&amp;C7,"")</f>
        <v>AICI201909-3-2-1</v>
      </c>
      <c r="B7" s="19" t="n">
        <f aca="false">IFERROR(__xludf.dummyfunction("""COMPUTED_VALUE"""),43922)</f>
        <v>43922</v>
      </c>
      <c r="C7" s="0" t="n">
        <f aca="false">IFERROR(__xludf.dummyfunction("""COMPUTED_VALUE"""),1)</f>
        <v>1</v>
      </c>
      <c r="D7" s="0" t="str">
        <f aca="false">IFERROR(__xludf.dummyfunction("""COMPUTED_VALUE"""),"AICI201909-3-2| 2, Socialización del paquete instruccional""Garantizar la funcionalidad de los procedimientos de consentimiento informado"" (02/mar./2020 - 10/oct./2020)")</f>
        <v>AICI201909-3-2| 2, Socialización del paquete instruccional"Garantizar la funcionalidad de los procedimientos de consentimiento informado" (02/mar./2020 - 10/oct./2020)</v>
      </c>
      <c r="E7" s="0" t="str">
        <f aca="false">IFERROR(__xludf.dummyfunction("""COMPUTED_VALUE"""),"Elaboración de ayuda didáctica en power point,sobre consentimiento informado")</f>
        <v>Elaboración de ayuda didáctica en power point,sobre consentimiento informado</v>
      </c>
      <c r="F7" s="0" t="str">
        <f aca="false">IFERROR(__xludf.dummyfunction("""COMPUTED_VALUE"""),"En desarrollo")</f>
        <v>En desarrollo</v>
      </c>
      <c r="G7" s="20" t="str">
        <f aca="false">IFERROR(__xludf.dummyfunction("""COMPUTED_VALUE"""),"https://drive.google.com/open?id=1uXEUlFTmECcbSpQ4cmH3Z5uSVXc6P0GJ")</f>
        <v>https://drive.google.com/open?id=1uXEUlFTmECcbSpQ4cmH3Z5uSVXc6P0GJ</v>
      </c>
    </row>
    <row r="8" customFormat="false" ht="14.25" hidden="false" customHeight="false" outlineLevel="0" collapsed="false">
      <c r="A8" s="18" t="str">
        <f aca="false">IFERROR(MID(D8,1,FIND("|",D8)-1)&amp;"-"&amp;C8,"")</f>
        <v>AICI201909-4-1-1</v>
      </c>
      <c r="B8" s="19" t="n">
        <f aca="false">IFERROR(__xludf.dummyfunction("""COMPUTED_VALUE"""),43922)</f>
        <v>43922</v>
      </c>
      <c r="C8" s="0" t="n">
        <f aca="false">IFERROR(__xludf.dummyfunction("""COMPUTED_VALUE"""),1)</f>
        <v>1</v>
      </c>
      <c r="D8" s="0" t="str">
        <f aca="false">IFERROR(__xludf.dummyfunction("""COMPUTED_VALUE"""),"AICI201909-4-1| 1, Socializar la matriz de riesgos del laboratorio clínico en cada una de sus fases del procedimiento. (02/mar./2020 - 10/oct./2020)")</f>
        <v>AICI201909-4-1| 1, Socializar la matriz de riesgos del laboratorio clínico en cada una de sus fases del procedimiento. (02/mar./2020 - 10/oct./2020)</v>
      </c>
      <c r="E8" s="0" t="str">
        <f aca="false">IFERROR(__xludf.dummyfunction("""COMPUTED_VALUE"""),"Se socializará en el mes de abril,la matriz de riesgos")</f>
        <v>Se socializará en el mes de abril,la matriz de riesgos</v>
      </c>
      <c r="F8" s="0" t="str">
        <f aca="false">IFERROR(__xludf.dummyfunction("""COMPUTED_VALUE"""),"No iniciado")</f>
        <v>No iniciado</v>
      </c>
    </row>
    <row r="9" customFormat="false" ht="14.25" hidden="false" customHeight="false" outlineLevel="0" collapsed="false">
      <c r="A9" s="18" t="str">
        <f aca="false">IFERROR(MID(D9,1,FIND("|",D9)-1)&amp;"-"&amp;C9,"")</f>
        <v>AICI201909-4-2-1</v>
      </c>
      <c r="B9" s="19" t="n">
        <f aca="false">IFERROR(__xludf.dummyfunction("""COMPUTED_VALUE"""),43922)</f>
        <v>43922</v>
      </c>
      <c r="C9" s="0" t="n">
        <f aca="false">IFERROR(__xludf.dummyfunction("""COMPUTED_VALUE"""),1)</f>
        <v>1</v>
      </c>
      <c r="D9" s="0" t="str">
        <f aca="false">IFERROR(__xludf.dummyfunction("""COMPUTED_VALUE"""),"AICI201909-4-2| 2.Establecer las herramientas de gestión de riesgos que incluyan la detección y medición de los mismos con el fin de orientar las estrategias de mitigación requeridas (02/mar./2020 - 10/oct./2020)")</f>
        <v>AICI201909-4-2| 2.Establecer las herramientas de gestión de riesgos que incluyan la detección y medición de los mismos con el fin de orientar las estrategias de mitigación requeridas (02/mar./2020 - 10/oct./2020)</v>
      </c>
      <c r="E9" s="0" t="str">
        <f aca="false">IFERROR(__xludf.dummyfunction("""COMPUTED_VALUE"""),"Se está consolidando el indicador de evento adverso")</f>
        <v>Se está consolidando el indicador de evento adverso</v>
      </c>
      <c r="F9" s="0" t="str">
        <f aca="false">IFERROR(__xludf.dummyfunction("""COMPUTED_VALUE"""),"En desarrollo")</f>
        <v>En desarrollo</v>
      </c>
    </row>
    <row r="10" customFormat="false" ht="14.25" hidden="false" customHeight="false" outlineLevel="0" collapsed="false">
      <c r="A10" s="18" t="str">
        <f aca="false">IFERROR(MID(D10,1,FIND("|",D10)-1)&amp;"-"&amp;C10,"")</f>
        <v>AICI201909-5-1-1</v>
      </c>
      <c r="B10" s="19" t="n">
        <f aca="false">IFERROR(__xludf.dummyfunction("""COMPUTED_VALUE"""),43922)</f>
        <v>43922</v>
      </c>
      <c r="C10" s="0" t="n">
        <f aca="false">IFERROR(__xludf.dummyfunction("""COMPUTED_VALUE"""),1)</f>
        <v>1</v>
      </c>
      <c r="D10" s="0" t="str">
        <f aca="false">IFERROR(__xludf.dummyfunction("""COMPUTED_VALUE"""),"AICI201909-5-1| Establecer los Puntos Críticos de control en la actividad de separación de muestras en alícuotas con el fin de mitigar los riesgos de dicha actividad. (02/mar./2020 - 14/ago./2020)")</f>
        <v>AICI201909-5-1| Establecer los Puntos Críticos de control en la actividad de separación de muestras en alícuotas con el fin de mitigar los riesgos de dicha actividad. (02/mar./2020 - 14/ago./2020)</v>
      </c>
      <c r="E10" s="0" t="str">
        <f aca="false">IFERROR(__xludf.dummyfunction("""COMPUTED_VALUE"""),"No hay evidencia que soporte esta acción")</f>
        <v>No hay evidencia que soporte esta acción</v>
      </c>
      <c r="F10" s="0" t="str">
        <f aca="false">IFERROR(__xludf.dummyfunction("""COMPUTED_VALUE"""),"No iniciado")</f>
        <v>No iniciado</v>
      </c>
    </row>
    <row r="11" customFormat="false" ht="14.25" hidden="false" customHeight="false" outlineLevel="0" collapsed="false">
      <c r="A11" s="18" t="str">
        <f aca="false">IFERROR(MID(D11,1,FIND("|",D11)-1)&amp;"-"&amp;C11,"")</f>
        <v>AICI201909-6-1-1</v>
      </c>
      <c r="B11" s="19" t="n">
        <f aca="false">IFERROR(__xludf.dummyfunction("""COMPUTED_VALUE"""),43922)</f>
        <v>43922</v>
      </c>
      <c r="C11" s="0" t="n">
        <f aca="false">IFERROR(__xludf.dummyfunction("""COMPUTED_VALUE"""),1)</f>
        <v>1</v>
      </c>
      <c r="D11" s="0" t="str">
        <f aca="false">IFERROR(__xludf.dummyfunction("""COMPUTED_VALUE"""),"AICI201909-6-1| Realizar periódicamente auditoría relacionada con el diligenciamiento de formatos en las tomas de muestras y en las unidades de procesamiento (02/mar./2020 - 10/oct./2020)")</f>
        <v>AICI201909-6-1| Realizar periódicamente auditoría relacionada con el diligenciamiento de formatos en las tomas de muestras y en las unidades de procesamiento (02/mar./2020 - 10/oct./2020)</v>
      </c>
      <c r="E11" s="0" t="str">
        <f aca="false">IFERROR(__xludf.dummyfunction("""COMPUTED_VALUE"""),"No se han iniciado las auditorias,se realizaron listas de chequeo")</f>
        <v>No se han iniciado las auditorias,se realizaron listas de chequeo</v>
      </c>
      <c r="F11" s="0" t="str">
        <f aca="false">IFERROR(__xludf.dummyfunction("""COMPUTED_VALUE"""),"En desarrollo")</f>
        <v>En desarrollo</v>
      </c>
      <c r="G11" s="20" t="str">
        <f aca="false">IFERROR(__xludf.dummyfunction("""COMPUTED_VALUE"""),"https://drive.google.com/open?id=1rayjBn8rjar7z3TOkSU4dBC77o7_toxs")</f>
        <v>https://drive.google.com/open?id=1rayjBn8rjar7z3TOkSU4dBC77o7_toxs</v>
      </c>
    </row>
    <row r="12" customFormat="false" ht="14.25" hidden="false" customHeight="false" outlineLevel="0" collapsed="false">
      <c r="A12" s="18" t="str">
        <f aca="false">IFERROR(MID(D12,1,FIND("|",D12)-1)&amp;"-"&amp;C12,"")</f>
        <v>AICI201909-7-1-1</v>
      </c>
      <c r="B12" s="19" t="n">
        <f aca="false">IFERROR(__xludf.dummyfunction("""COMPUTED_VALUE"""),43922)</f>
        <v>43922</v>
      </c>
      <c r="C12" s="0" t="n">
        <f aca="false">IFERROR(__xludf.dummyfunction("""COMPUTED_VALUE"""),1)</f>
        <v>1</v>
      </c>
      <c r="D12" s="0" t="str">
        <f aca="false">IFERROR(__xludf.dummyfunction("""COMPUTED_VALUE"""),"AICI201909-7-1| Identificar los factores contribuyentes del incumplimiento del indicador y generar estrategias encaminadas a subsanar tiempo de oportunidad que se encuentren fuera de las metas establecidas en el POA (02/mar./2020 - 10/oct./2020)")</f>
        <v>AICI201909-7-1| Identificar los factores contribuyentes del incumplimiento del indicador y generar estrategias encaminadas a subsanar tiempo de oportunidad que se encuentren fuera de las metas establecidas en el POA (02/mar./2020 - 10/oct./2020)</v>
      </c>
      <c r="E12" s="0" t="str">
        <f aca="false">IFERROR(__xludf.dummyfunction("""COMPUTED_VALUE"""),"No se observa  indicador de oportunidad analizado")</f>
        <v>No se observa  indicador de oportunidad analizado</v>
      </c>
      <c r="F12" s="0" t="str">
        <f aca="false">IFERROR(__xludf.dummyfunction("""COMPUTED_VALUE"""),"No iniciado")</f>
        <v>No iniciado</v>
      </c>
    </row>
    <row r="13" customFormat="false" ht="14.25" hidden="false" customHeight="false" outlineLevel="0" collapsed="false">
      <c r="A13" s="18" t="str">
        <f aca="false">IFERROR(MID(D13,1,FIND("|",D13)-1)&amp;"-"&amp;C13,"")</f>
        <v>AICI201909-8-1-1</v>
      </c>
      <c r="B13" s="19" t="n">
        <f aca="false">IFERROR(__xludf.dummyfunction("""COMPUTED_VALUE"""),43922)</f>
        <v>43922</v>
      </c>
      <c r="C13" s="0" t="n">
        <f aca="false">IFERROR(__xludf.dummyfunction("""COMPUTED_VALUE"""),1)</f>
        <v>1</v>
      </c>
      <c r="D13" s="0" t="str">
        <f aca="false">IFERROR(__xludf.dummyfunction("""COMPUTED_VALUE"""),"AICI201909-8-1| Realizar auditoria periódica al diligenciamiento de la totalidad de campos del formato de entrega de muestras por parte de la empresa transportadora que incluya la verificación de las temperaturas de recepción y entrega. (02/mar./2020 - 10"&amp;"/oct./2020)")</f>
        <v>AICI201909-8-1| Realizar auditoria periódica al diligenciamiento de la totalidad de campos del formato de entrega de muestras por parte de la empresa transportadora que incluya la verificación de las temperaturas de recepción y entrega. (02/mar./2020 - 10/oct./2020)</v>
      </c>
      <c r="E13" s="0" t="str">
        <f aca="false">IFERROR(__xludf.dummyfunction("""COMPUTED_VALUE"""),"No se ha realizado auditoria por la  cuarentena")</f>
        <v>No se ha realizado auditoria por la  cuarentena</v>
      </c>
      <c r="F13" s="0" t="str">
        <f aca="false">IFERROR(__xludf.dummyfunction("""COMPUTED_VALUE"""),"No iniciado")</f>
        <v>No iniciado</v>
      </c>
    </row>
    <row r="14" customFormat="false" ht="14.25" hidden="false" customHeight="false" outlineLevel="0" collapsed="false">
      <c r="A14" s="18" t="str">
        <f aca="false">IFERROR(MID(D14,1,FIND("|",D14)-1)&amp;"-"&amp;C14,"")</f>
        <v>AICI201909-1-1-2</v>
      </c>
      <c r="B14" s="19" t="n">
        <f aca="false">IFERROR(__xludf.dummyfunction("""COMPUTED_VALUE"""),44061)</f>
        <v>44061</v>
      </c>
      <c r="C14" s="0" t="n">
        <f aca="false">IFERROR(__xludf.dummyfunction("""COMPUTED_VALUE"""),2)</f>
        <v>2</v>
      </c>
      <c r="D14" s="0" t="str">
        <f aca="false">IFERROR(__xludf.dummyfunction("""COMPUTED_VALUE"""),"AICI201909-1-1| Realizar periódicamente auditoría en la tomas de muestras que incluya la verificación de fechas de vencimiento y semaforización de insumos. (02/mar./2020 - 30/oct./2020)")</f>
        <v>AICI201909-1-1| Realizar periódicamente auditoría en la tomas de muestras que incluya la verificación de fechas de vencimiento y semaforización de insumos. (02/mar./2020 - 30/oct./2020)</v>
      </c>
      <c r="E14" s="0" t="str">
        <f aca="false">IFERROR(__xludf.dummyfunction("""COMPUTED_VALUE"""),"Se aplicaron lista de chequeo para toma de muestras")</f>
        <v>Se aplicaron lista de chequeo para toma de muestras</v>
      </c>
      <c r="F14" s="0" t="str">
        <f aca="false">IFERROR(__xludf.dummyfunction("""COMPUTED_VALUE"""),"En desarrollo")</f>
        <v>En desarrollo</v>
      </c>
      <c r="G14" s="20" t="str">
        <f aca="false">IFERROR(__xludf.dummyfunction("""COMPUTED_VALUE"""),"https://drive.google.com/open?id=156hVXScP3cKfZuc1LCVPHTcTHbkCUng8")</f>
        <v>https://drive.google.com/open?id=156hVXScP3cKfZuc1LCVPHTcTHbkCUng8</v>
      </c>
    </row>
    <row r="15" customFormat="false" ht="14.25" hidden="false" customHeight="false" outlineLevel="0" collapsed="false">
      <c r="A15" s="18" t="str">
        <f aca="false">IFERROR(MID(D15,1,FIND("|",D15)-1)&amp;"-"&amp;C15,"")</f>
        <v>AICI201909-2-1-2</v>
      </c>
      <c r="B15" s="19" t="n">
        <f aca="false">IFERROR(__xludf.dummyfunction("""COMPUTED_VALUE"""),44061)</f>
        <v>44061</v>
      </c>
      <c r="C15" s="0" t="n">
        <f aca="false">IFERROR(__xludf.dummyfunction("""COMPUTED_VALUE"""),2)</f>
        <v>2</v>
      </c>
      <c r="D15" s="0" t="str">
        <f aca="false">IFERROR(__xludf.dummyfunction("""COMPUTED_VALUE"""),"AICI201909-2-1| Dotar con terhmohigrométros al 100% de las tomas de muestras y sitios de almacenamiento de insumos, con el fin de garantizar el control de la temperatura y humedad que repercute en la adecuada gestión de insumos (02/mar./2020 - 08/abr./202"&amp;"0)")</f>
        <v>AICI201909-2-1| Dotar con terhmohigrométros al 100% de las tomas de muestras y sitios de almacenamiento de insumos, con el fin de garantizar el control de la temperatura y humedad que repercute en la adecuada gestión de insumos (02/mar./2020 - 08/abr./2020)</v>
      </c>
      <c r="E15" s="0" t="str">
        <f aca="false">IFERROR(__xludf.dummyfunction("""COMPUTED_VALUE"""),"anexan registro fotográfico de los termohigrómetros colocados en los sitios habilitados para la toma de muestras durante la pandemia")</f>
        <v>anexan registro fotográfico de los termohigrómetros colocados en los sitios habilitados para la toma de muestras durante la pandemia</v>
      </c>
      <c r="F15" s="0" t="str">
        <f aca="false">IFERROR(__xludf.dummyfunction("""COMPUTED_VALUE"""),"En desarrollo")</f>
        <v>En desarrollo</v>
      </c>
      <c r="G15" s="20" t="str">
        <f aca="false">IFERROR(__xludf.dummyfunction("""COMPUTED_VALUE"""),"https://drive.google.com/open?id=1P0vEfqSpiPVLwVQhJ4GAx3lxWYs11kFk")</f>
        <v>https://drive.google.com/open?id=1P0vEfqSpiPVLwVQhJ4GAx3lxWYs11kFk</v>
      </c>
    </row>
    <row r="16" customFormat="false" ht="14.25" hidden="false" customHeight="false" outlineLevel="0" collapsed="false">
      <c r="A16" s="18" t="str">
        <f aca="false">IFERROR(MID(D16,1,FIND("|",D16)-1)&amp;"-"&amp;C16,"")</f>
        <v>AICI201909-3-1-2</v>
      </c>
      <c r="B16" s="19" t="n">
        <f aca="false">IFERROR(__xludf.dummyfunction("""COMPUTED_VALUE"""),44061)</f>
        <v>44061</v>
      </c>
      <c r="C16" s="0" t="n">
        <f aca="false">IFERROR(__xludf.dummyfunction("""COMPUTED_VALUE"""),2)</f>
        <v>2</v>
      </c>
      <c r="D16" s="0" t="str">
        <f aca="false">IFERROR(__xludf.dummyfunction("""COMPUTED_VALUE"""),"AICI201909-3-1| 1, Socialización y medición de adherencia al Manual de toma, transporte, manejo y conservación de muestras para exámenes de laboratorio CÓDIGO: MI-SC-M-01-03 y Manual de Bioseguridad con CÓDIGO: AP-AT-M-03-0 en lo que respecta a las activi"&amp;"dades de consentimiento informado y lavado de manos. (02/mar./2020 - 10/oct./2020)")</f>
        <v>AICI201909-3-1| 1, Socialización y medición de adherencia al Manual de toma, transporte, manejo y conservación de muestras para exámenes de laboratorio CÓDIGO: MI-SC-M-01-03 y Manual de Bioseguridad con CÓDIGO: AP-AT-M-03-0 en lo que respecta a las actividades de consentimiento informado y lavado de manos. (02/mar./2020 - 10/oct./2020)</v>
      </c>
      <c r="E16" s="0" t="str">
        <f aca="false">IFERROR(__xludf.dummyfunction("""COMPUTED_VALUE"""),"Se anexa informe de la socialización en la toma de muestras y aplicación de listas de chequeo de lavado de manos")</f>
        <v>Se anexa informe de la socialización en la toma de muestras y aplicación de listas de chequeo de lavado de manos</v>
      </c>
      <c r="F16" s="0" t="str">
        <f aca="false">IFERROR(__xludf.dummyfunction("""COMPUTED_VALUE"""),"En desarrollo")</f>
        <v>En desarrollo</v>
      </c>
      <c r="G16" s="0" t="str">
        <f aca="false">IFERROR(__xludf.dummyfunction("""COMPUTED_VALUE"""),"https://drive.google.com/open?id=1MSUCui_y8BuukMsABOSJblfLltLF4lLK, https://drive.google.com/open?id=1R7MlrDzq6Gfnvs860lc-PIWxJDzprYVP")</f>
        <v>https://drive.google.com/open?id=1MSUCui_y8BuukMsABOSJblfLltLF4lLK, https://drive.google.com/open?id=1R7MlrDzq6Gfnvs860lc-PIWxJDzprYVP</v>
      </c>
    </row>
    <row r="17" customFormat="false" ht="14.25" hidden="false" customHeight="false" outlineLevel="0" collapsed="false">
      <c r="A17" s="18" t="str">
        <f aca="false">IFERROR(MID(D17,1,FIND("|",D17)-1)&amp;"-"&amp;C17,"")</f>
        <v>AICI201909-3-2-2</v>
      </c>
      <c r="B17" s="19" t="n">
        <f aca="false">IFERROR(__xludf.dummyfunction("""COMPUTED_VALUE"""),44061)</f>
        <v>44061</v>
      </c>
      <c r="C17" s="0" t="n">
        <f aca="false">IFERROR(__xludf.dummyfunction("""COMPUTED_VALUE"""),2)</f>
        <v>2</v>
      </c>
      <c r="D17" s="0" t="str">
        <f aca="false">IFERROR(__xludf.dummyfunction("""COMPUTED_VALUE"""),"AICI201909-3-2| 2, Socialización del paquete instruccional""Garantizar la funcionalidad de los procedimientos de consentimiento informado"" (02/mar./2020 - 10/oct./2020)")</f>
        <v>AICI201909-3-2| 2, Socialización del paquete instruccional"Garantizar la funcionalidad de los procedimientos de consentimiento informado" (02/mar./2020 - 10/oct./2020)</v>
      </c>
      <c r="E17" s="0" t="str">
        <f aca="false">IFERROR(__xludf.dummyfunction("""COMPUTED_VALUE"""),"Se realizaron listas de chequeo ,donde se verifico el diligenciamiento informado")</f>
        <v>Se realizaron listas de chequeo ,donde se verifico el diligenciamiento informado</v>
      </c>
      <c r="F17" s="0" t="str">
        <f aca="false">IFERROR(__xludf.dummyfunction("""COMPUTED_VALUE"""),"En desarrollo")</f>
        <v>En desarrollo</v>
      </c>
      <c r="G17" s="20" t="str">
        <f aca="false">IFERROR(__xludf.dummyfunction("""COMPUTED_VALUE"""),"https://drive.google.com/open?id=1yM1JIHKJaSw4K4Gljirm02U-Dd9ZW9dJ")</f>
        <v>https://drive.google.com/open?id=1yM1JIHKJaSw4K4Gljirm02U-Dd9ZW9dJ</v>
      </c>
    </row>
    <row r="18" customFormat="false" ht="14.25" hidden="false" customHeight="false" outlineLevel="0" collapsed="false">
      <c r="A18" s="18" t="str">
        <f aca="false">IFERROR(MID(D18,1,FIND("|",D18)-1)&amp;"-"&amp;C18,"")</f>
        <v>AICI201909-4-1-2</v>
      </c>
      <c r="B18" s="19" t="n">
        <f aca="false">IFERROR(__xludf.dummyfunction("""COMPUTED_VALUE"""),44061)</f>
        <v>44061</v>
      </c>
      <c r="C18" s="0" t="n">
        <f aca="false">IFERROR(__xludf.dummyfunction("""COMPUTED_VALUE"""),2)</f>
        <v>2</v>
      </c>
      <c r="D18" s="0" t="str">
        <f aca="false">IFERROR(__xludf.dummyfunction("""COMPUTED_VALUE"""),"AICI201909-4-1| 1, Socializar la matriz de riesgos del laboratorio clínico en cada una de sus fases del procedimiento. (02/mar./2020 - 10/oct./2020)")</f>
        <v>AICI201909-4-1| 1, Socializar la matriz de riesgos del laboratorio clínico en cada una de sus fases del procedimiento. (02/mar./2020 - 10/oct./2020)</v>
      </c>
      <c r="E18" s="0" t="str">
        <f aca="false">IFERROR(__xludf.dummyfunction("""COMPUTED_VALUE"""),"Se realizó socialización de riesgos en algunas unidades")</f>
        <v>Se realizó socialización de riesgos en algunas unidades</v>
      </c>
      <c r="F18" s="0" t="str">
        <f aca="false">IFERROR(__xludf.dummyfunction("""COMPUTED_VALUE"""),"En desarrollo")</f>
        <v>En desarrollo</v>
      </c>
      <c r="G18" s="0" t="str">
        <f aca="false">IFERROR(__xludf.dummyfunction("""COMPUTED_VALUE"""),"https://drive.google.com/open?id=1UwHaWg8mdmHKi22Gv1d_8dvleeiJJTUv, https://drive.google.com/open?id=1Z0gI9pK3DbiEpqHDGfcAiGasQ1TaHzZo")</f>
        <v>https://drive.google.com/open?id=1UwHaWg8mdmHKi22Gv1d_8dvleeiJJTUv, https://drive.google.com/open?id=1Z0gI9pK3DbiEpqHDGfcAiGasQ1TaHzZo</v>
      </c>
    </row>
    <row r="19" customFormat="false" ht="14.25" hidden="false" customHeight="false" outlineLevel="0" collapsed="false">
      <c r="A19" s="18" t="str">
        <f aca="false">IFERROR(MID(D19,1,FIND("|",D19)-1)&amp;"-"&amp;C19,"")</f>
        <v>AICI201909-4-2-2</v>
      </c>
      <c r="B19" s="19" t="n">
        <f aca="false">IFERROR(__xludf.dummyfunction("""COMPUTED_VALUE"""),44061)</f>
        <v>44061</v>
      </c>
      <c r="C19" s="0" t="n">
        <f aca="false">IFERROR(__xludf.dummyfunction("""COMPUTED_VALUE"""),2)</f>
        <v>2</v>
      </c>
      <c r="D19" s="0" t="str">
        <f aca="false">IFERROR(__xludf.dummyfunction("""COMPUTED_VALUE"""),"AICI201909-4-2| 2.Establecer las herramientas de gestión de riesgos que incluyan la detección y medición de los mismos con el fin de orientar las estrategias de mitigación requeridas (02/mar./2020 - 10/oct./2020)")</f>
        <v>AICI201909-4-2| 2.Establecer las herramientas de gestión de riesgos que incluyan la detección y medición de los mismos con el fin de orientar las estrategias de mitigación requeridas (02/mar./2020 - 10/oct./2020)</v>
      </c>
      <c r="E19" s="0" t="str">
        <f aca="false">IFERROR(__xludf.dummyfunction("""COMPUTED_VALUE"""),"Las evidencias aportadas no son pertinentes con la acción")</f>
        <v>Las evidencias aportadas no son pertinentes con la acción</v>
      </c>
      <c r="F19" s="0" t="str">
        <f aca="false">IFERROR(__xludf.dummyfunction("""COMPUTED_VALUE"""),"En desarrollo")</f>
        <v>En desarrollo</v>
      </c>
    </row>
    <row r="20" customFormat="false" ht="14.25" hidden="false" customHeight="false" outlineLevel="0" collapsed="false">
      <c r="A20" s="18" t="str">
        <f aca="false">IFERROR(MID(D20,1,FIND("|",D20)-1)&amp;"-"&amp;C20,"")</f>
        <v>AICI201909-5-1-2</v>
      </c>
      <c r="B20" s="19" t="n">
        <f aca="false">IFERROR(__xludf.dummyfunction("""COMPUTED_VALUE"""),44061)</f>
        <v>44061</v>
      </c>
      <c r="C20" s="0" t="n">
        <f aca="false">IFERROR(__xludf.dummyfunction("""COMPUTED_VALUE"""),2)</f>
        <v>2</v>
      </c>
      <c r="D20" s="0" t="str">
        <f aca="false">IFERROR(__xludf.dummyfunction("""COMPUTED_VALUE"""),"AICI201909-5-1| Establecer los Puntos Críticos de control en la actividad de separación de muestras en alícuotas con el fin de mitigar los riesgos de dicha actividad. (02/mar./2020 - 14/ago./2020)")</f>
        <v>AICI201909-5-1| Establecer los Puntos Críticos de control en la actividad de separación de muestras en alícuotas con el fin de mitigar los riesgos de dicha actividad. (02/mar./2020 - 14/ago./2020)</v>
      </c>
      <c r="E20" s="0" t="str">
        <f aca="false">IFERROR(__xludf.dummyfunction("""COMPUTED_VALUE"""),"Se realiza socialización de manejo y remisión de muestras,se reajusta el manual de toma de muestras")</f>
        <v>Se realiza socialización de manejo y remisión de muestras,se reajusta el manual de toma de muestras</v>
      </c>
      <c r="F20" s="0" t="str">
        <f aca="false">IFERROR(__xludf.dummyfunction("""COMPUTED_VALUE"""),"En desarrollo")</f>
        <v>En desarrollo</v>
      </c>
      <c r="G20" s="0" t="str">
        <f aca="false">IFERROR(__xludf.dummyfunction("""COMPUTED_VALUE"""),"https://drive.google.com/open?id=1t3eeJgO-6ya3xxve1HXImCzpsz70c1ap, https://drive.google.com/open?id=1E_Hwvp1AO8mw-SoXyROq2O-Io2vu213o, https://drive.google.com/open?id=12-LogodmZMEjSoP1b2TrtA_jS5XmHkH7")</f>
        <v>https://drive.google.com/open?id=1t3eeJgO-6ya3xxve1HXImCzpsz70c1ap, https://drive.google.com/open?id=1E_Hwvp1AO8mw-SoXyROq2O-Io2vu213o, https://drive.google.com/open?id=12-LogodmZMEjSoP1b2TrtA_jS5XmHkH7</v>
      </c>
    </row>
    <row r="21" customFormat="false" ht="14.25" hidden="false" customHeight="false" outlineLevel="0" collapsed="false">
      <c r="A21" s="18" t="str">
        <f aca="false">IFERROR(MID(D21,1,FIND("|",D21)-1)&amp;"-"&amp;C21,"")</f>
        <v>AICI201909-6-1-2</v>
      </c>
      <c r="B21" s="19" t="n">
        <f aca="false">IFERROR(__xludf.dummyfunction("""COMPUTED_VALUE"""),44061)</f>
        <v>44061</v>
      </c>
      <c r="C21" s="0" t="n">
        <f aca="false">IFERROR(__xludf.dummyfunction("""COMPUTED_VALUE"""),2)</f>
        <v>2</v>
      </c>
      <c r="D21" s="0" t="str">
        <f aca="false">IFERROR(__xludf.dummyfunction("""COMPUTED_VALUE"""),"AICI201909-6-1| Realizar periódicamente auditoría relacionada con el diligenciamiento de formatos en las tomas de muestras y en las unidades de procesamiento (02/mar./2020 - 10/oct./2020)")</f>
        <v>AICI201909-6-1| Realizar periódicamente auditoría relacionada con el diligenciamiento de formatos en las tomas de muestras y en las unidades de procesamiento (02/mar./2020 - 10/oct./2020)</v>
      </c>
      <c r="E21" s="0" t="str">
        <f aca="false">IFERROR(__xludf.dummyfunction("""COMPUTED_VALUE"""),"Se realizó seguimiento a la toma de muestras mediante listas de chequeo, Se realiza seguimiento al diligenciamiento de formatos")</f>
        <v>Se realizó seguimiento a la toma de muestras mediante listas de chequeo, Se realiza seguimiento al diligenciamiento de formatos</v>
      </c>
      <c r="F21" s="0" t="str">
        <f aca="false">IFERROR(__xludf.dummyfunction("""COMPUTED_VALUE"""),"En desarrollo")</f>
        <v>En desarrollo</v>
      </c>
      <c r="G21" s="20" t="str">
        <f aca="false">IFERROR(__xludf.dummyfunction("""COMPUTED_VALUE"""),"https://drive.google.com/open?id=1d4FLoH5-aGCnBHjB_n32MkcEKmP5eQVW")</f>
        <v>https://drive.google.com/open?id=1d4FLoH5-aGCnBHjB_n32MkcEKmP5eQVW</v>
      </c>
    </row>
    <row r="22" customFormat="false" ht="14.25" hidden="false" customHeight="false" outlineLevel="0" collapsed="false">
      <c r="A22" s="18" t="str">
        <f aca="false">IFERROR(MID(D22,1,FIND("|",D22)-1)&amp;"-"&amp;C22,"")</f>
        <v>AICI201909-7-1-2</v>
      </c>
      <c r="B22" s="19" t="n">
        <f aca="false">IFERROR(__xludf.dummyfunction("""COMPUTED_VALUE"""),44061)</f>
        <v>44061</v>
      </c>
      <c r="C22" s="0" t="n">
        <f aca="false">IFERROR(__xludf.dummyfunction("""COMPUTED_VALUE"""),2)</f>
        <v>2</v>
      </c>
      <c r="D22" s="0" t="str">
        <f aca="false">IFERROR(__xludf.dummyfunction("""COMPUTED_VALUE"""),"AICI201909-7-1| Identificar los factores contribuyentes del incumplimiento del indicador y generar estrategias encaminadas a subsanar tiempo de oportunidad que se encuentren fuera de las metas establecidas en el POA (02/mar./2020 - 10/oct./2020)")</f>
        <v>AICI201909-7-1| Identificar los factores contribuyentes del incumplimiento del indicador y generar estrategias encaminadas a subsanar tiempo de oportunidad que se encuentren fuera de las metas establecidas en el POA (02/mar./2020 - 10/oct./2020)</v>
      </c>
      <c r="E22" s="0" t="str">
        <f aca="false">IFERROR(__xludf.dummyfunction("""COMPUTED_VALUE"""),"Se realiza socialización  del indicador de oportunidad en los diferentes servicios")</f>
        <v>Se realiza socialización  del indicador de oportunidad en los diferentes servicios</v>
      </c>
      <c r="F22" s="0" t="str">
        <f aca="false">IFERROR(__xludf.dummyfunction("""COMPUTED_VALUE"""),"En desarrollo")</f>
        <v>En desarrollo</v>
      </c>
      <c r="G22" s="0" t="str">
        <f aca="false">IFERROR(__xludf.dummyfunction("""COMPUTED_VALUE"""),"https://drive.google.com/open?id=1XYj1j7tTPvJ_7AGELdbKNQ8BKzFYe9pr, https://drive.google.com/open?id=1N7UfJ0EvEHVGYe6A0Vr7Ys55T2k5x1WR")</f>
        <v>https://drive.google.com/open?id=1XYj1j7tTPvJ_7AGELdbKNQ8BKzFYe9pr, https://drive.google.com/open?id=1N7UfJ0EvEHVGYe6A0Vr7Ys55T2k5x1WR</v>
      </c>
    </row>
    <row r="23" customFormat="false" ht="14.25" hidden="false" customHeight="false" outlineLevel="0" collapsed="false">
      <c r="A23" s="18" t="str">
        <f aca="false">IFERROR(MID(D23,1,FIND("|",D23)-1)&amp;"-"&amp;C23,"")</f>
        <v>AICI201909-8-1-2</v>
      </c>
      <c r="B23" s="19" t="n">
        <f aca="false">IFERROR(__xludf.dummyfunction("""COMPUTED_VALUE"""),44061)</f>
        <v>44061</v>
      </c>
      <c r="C23" s="0" t="n">
        <f aca="false">IFERROR(__xludf.dummyfunction("""COMPUTED_VALUE"""),2)</f>
        <v>2</v>
      </c>
      <c r="D23" s="0" t="str">
        <f aca="false">IFERROR(__xludf.dummyfunction("""COMPUTED_VALUE"""),"AICI201909-8-1| Realizar auditoria periódica al diligenciamiento de la totalidad de campos del formato de entrega de muestras por parte de la empresa transportadora que incluya la verificación de las temperaturas de recepción y entrega. (02/mar./2020 - 10"&amp;"/oct./2020)")</f>
        <v>AICI201909-8-1| Realizar auditoria periódica al diligenciamiento de la totalidad de campos del formato de entrega de muestras por parte de la empresa transportadora que incluya la verificación de las temperaturas de recepción y entrega. (02/mar./2020 - 10/oct./2020)</v>
      </c>
      <c r="E23" s="0" t="str">
        <f aca="false">IFERROR(__xludf.dummyfunction("""COMPUTED_VALUE"""),"Se anexa informe de la auditoria realizada a los carros transportadores y las listas de chequeo")</f>
        <v>Se anexa informe de la auditoria realizada a los carros transportadores y las listas de chequeo</v>
      </c>
      <c r="F23" s="0" t="str">
        <f aca="false">IFERROR(__xludf.dummyfunction("""COMPUTED_VALUE"""),"En desarrollo")</f>
        <v>En desarrollo</v>
      </c>
      <c r="G23" s="0" t="str">
        <f aca="false">IFERROR(__xludf.dummyfunction("""COMPUTED_VALUE"""),"https://drive.google.com/open?id=1OY7XzuK6KmonHPFdVROuA2b2uQXPkgT5, https://drive.google.com/open?id=1y_eQIiWaVG8EWV-Aji66NnJqRCC1-JMQ, https://drive.google.com/open?id=1Y1cOM4rlXLi1x972yx-7UuooNA_QVbRT, https://drive.google.com/open?id=12vkhlwlKYs3mNHDD6"&amp;"J6roe55kXg7Uw8j")</f>
        <v>https://drive.google.com/open?id=1OY7XzuK6KmonHPFdVROuA2b2uQXPkgT5, https://drive.google.com/open?id=1y_eQIiWaVG8EWV-Aji66NnJqRCC1-JMQ, https://drive.google.com/open?id=1Y1cOM4rlXLi1x972yx-7UuooNA_QVbRT, https://drive.google.com/open?id=12vkhlwlKYs3mNHDD6J6roe55kXg7Uw8j</v>
      </c>
    </row>
    <row r="24" customFormat="false" ht="14.25" hidden="false" customHeight="false" outlineLevel="0" collapsed="false">
      <c r="A24" s="18" t="str">
        <f aca="false">IFERROR(MID(D24,1,FIND("|",D24)-1)&amp;"-"&amp;C24,"")</f>
        <v>AICI201909-8-2-2</v>
      </c>
      <c r="B24" s="19" t="n">
        <f aca="false">IFERROR(__xludf.dummyfunction("""COMPUTED_VALUE"""),44061)</f>
        <v>44061</v>
      </c>
      <c r="C24" s="0" t="n">
        <f aca="false">IFERROR(__xludf.dummyfunction("""COMPUTED_VALUE"""),2)</f>
        <v>2</v>
      </c>
      <c r="D24" s="0" t="str">
        <f aca="false">IFERROR(__xludf.dummyfunction("""COMPUTED_VALUE"""),"AICI201909-8-2| Retroalimentar a la empresa transportadora respecto a los hallazgos de la auditoría con el fin de implementar oportunidades de mejora en caso de ser requeridas. (02/mar./2020 - 10/oct./2020)")</f>
        <v>AICI201909-8-2| Retroalimentar a la empresa transportadora respecto a los hallazgos de la auditoría con el fin de implementar oportunidades de mejora en caso de ser requeridas. (02/mar./2020 - 10/oct./2020)</v>
      </c>
      <c r="E24" s="0" t="str">
        <f aca="false">IFERROR(__xludf.dummyfunction("""COMPUTED_VALUE"""),"Se realizará cuando terminen la auditoría")</f>
        <v>Se realizará cuando terminen la auditoría</v>
      </c>
      <c r="F24" s="0" t="str">
        <f aca="false">IFERROR(__xludf.dummyfunction("""COMPUTED_VALUE"""),"En desarrollo")</f>
        <v>En desarrollo</v>
      </c>
    </row>
    <row r="25" customFormat="false" ht="14.25" hidden="false" customHeight="false" outlineLevel="0" collapsed="false">
      <c r="A25" s="18" t="str">
        <f aca="false">IFERROR(MID(D25,1,FIND("|",D25)-1)&amp;"-"&amp;C25,"")</f>
        <v>AICI201909-1-1-3</v>
      </c>
      <c r="B25" s="19" t="n">
        <f aca="false">IFERROR(__xludf.dummyfunction("""COMPUTED_VALUE"""),44215)</f>
        <v>44215</v>
      </c>
      <c r="C25" s="0" t="n">
        <f aca="false">IFERROR(__xludf.dummyfunction("""COMPUTED_VALUE"""),3)</f>
        <v>3</v>
      </c>
      <c r="D25" s="0" t="str">
        <f aca="false">IFERROR(__xludf.dummyfunction("""COMPUTED_VALUE"""),"AICI201909-1-1| Realizar periódicamente auditoría en la tomas de muestras que incluya la verificación de fechas de vencimiento y semaforización de insumos. (02/mar./2020 - 30/oct./2020)")</f>
        <v>AICI201909-1-1| Realizar periódicamente auditoría en la tomas de muestras que incluya la verificación de fechas de vencimiento y semaforización de insumos. (02/mar./2020 - 30/oct./2020)</v>
      </c>
      <c r="E25" s="0" t="str">
        <f aca="false">IFERROR(__xludf.dummyfunction("""COMPUTED_VALUE"""),"Se anexa informe de auditorias con base a listas de chequeo en diferentes puntos")</f>
        <v>Se anexa informe de auditorias con base a listas de chequeo en diferentes puntos</v>
      </c>
      <c r="F25" s="0" t="str">
        <f aca="false">IFERROR(__xludf.dummyfunction("""COMPUTED_VALUE"""),"Completo")</f>
        <v>Completo</v>
      </c>
      <c r="G25" s="20" t="str">
        <f aca="false">IFERROR(__xludf.dummyfunction("""COMPUTED_VALUE"""),"https://drive.google.com/open?id=1q5sMdISQCNIGWusR-fDj8vzZG-cWglUc")</f>
        <v>https://drive.google.com/open?id=1q5sMdISQCNIGWusR-fDj8vzZG-cWglUc</v>
      </c>
    </row>
    <row r="26" customFormat="false" ht="14.25" hidden="false" customHeight="false" outlineLevel="0" collapsed="false">
      <c r="A26" s="18" t="str">
        <f aca="false">IFERROR(MID(D26,1,FIND("|",D26)-1)&amp;"-"&amp;C26,"")</f>
        <v>AICI201909-3-1-3</v>
      </c>
      <c r="B26" s="19" t="n">
        <f aca="false">IFERROR(__xludf.dummyfunction("""COMPUTED_VALUE"""),44215)</f>
        <v>44215</v>
      </c>
      <c r="C26" s="0" t="n">
        <f aca="false">IFERROR(__xludf.dummyfunction("""COMPUTED_VALUE"""),3)</f>
        <v>3</v>
      </c>
      <c r="D26" s="0" t="str">
        <f aca="false">IFERROR(__xludf.dummyfunction("""COMPUTED_VALUE"""),"AICI201909-3-1| 1, Socialización y medición de adherencia al Manual de toma, transporte, manejo y conservación de muestras para exámenes de laboratorio CÓDIGO: MI-SC-M-01-03 y Manual de Bioseguridad con CÓDIGO: AP-AT-M-03-0 en lo que respecta a las activi"&amp;"dades de consentimiento informado y lavado de manos. (02/mar./2020 - 10/oct./2020)")</f>
        <v>AICI201909-3-1| 1, Socialización y medición de adherencia al Manual de toma, transporte, manejo y conservación de muestras para exámenes de laboratorio CÓDIGO: MI-SC-M-01-03 y Manual de Bioseguridad con CÓDIGO: AP-AT-M-03-0 en lo que respecta a las actividades de consentimiento informado y lavado de manos. (02/mar./2020 - 10/oct./2020)</v>
      </c>
      <c r="E26" s="0" t="str">
        <f aca="false">IFERROR(__xludf.dummyfunction("""COMPUTED_VALUE"""),"se anexan listas de verificación lavado de manos e informe")</f>
        <v>se anexan listas de verificación lavado de manos e informe</v>
      </c>
      <c r="F26" s="0" t="str">
        <f aca="false">IFERROR(__xludf.dummyfunction("""COMPUTED_VALUE"""),"Completo")</f>
        <v>Completo</v>
      </c>
      <c r="G26" s="0" t="str">
        <f aca="false">IFERROR(__xludf.dummyfunction("""COMPUTED_VALUE"""),"https://drive.google.com/open?id=1YWGc4u0TKcpVrjY0BfYoKUR8lu_J3MM_, https://drive.google.com/open?id=1_j7mjJK2eH3wSNybSLHRJh8a_ov5sule")</f>
        <v>https://drive.google.com/open?id=1YWGc4u0TKcpVrjY0BfYoKUR8lu_J3MM_, https://drive.google.com/open?id=1_j7mjJK2eH3wSNybSLHRJh8a_ov5sule</v>
      </c>
    </row>
    <row r="27" customFormat="false" ht="14.25" hidden="false" customHeight="false" outlineLevel="0" collapsed="false">
      <c r="A27" s="18" t="str">
        <f aca="false">IFERROR(MID(D27,1,FIND("|",D27)-1)&amp;"-"&amp;C27,"")</f>
        <v>AICI201909-3-2-3</v>
      </c>
      <c r="B27" s="19" t="n">
        <f aca="false">IFERROR(__xludf.dummyfunction("""COMPUTED_VALUE"""),44215)</f>
        <v>44215</v>
      </c>
      <c r="C27" s="0" t="n">
        <f aca="false">IFERROR(__xludf.dummyfunction("""COMPUTED_VALUE"""),3)</f>
        <v>3</v>
      </c>
      <c r="D27" s="0" t="str">
        <f aca="false">IFERROR(__xludf.dummyfunction("""COMPUTED_VALUE"""),"AICI201909-3-2| 2, Socialización del paquete instruccional""Garantizar la funcionalidad de los procedimientos de consentimiento informado"" (02/mar./2020 - 10/oct./2020)")</f>
        <v>AICI201909-3-2| 2, Socialización del paquete instruccional"Garantizar la funcionalidad de los procedimientos de consentimiento informado" (02/mar./2020 - 10/oct./2020)</v>
      </c>
      <c r="E27" s="0" t="str">
        <f aca="false">IFERROR(__xludf.dummyfunction("""COMPUTED_VALUE"""),"Se anexa informe de consentimiento informado y socializaciones")</f>
        <v>Se anexa informe de consentimiento informado y socializaciones</v>
      </c>
      <c r="F27" s="0" t="str">
        <f aca="false">IFERROR(__xludf.dummyfunction("""COMPUTED_VALUE"""),"Completo")</f>
        <v>Completo</v>
      </c>
      <c r="G27" s="0" t="str">
        <f aca="false">IFERROR(__xludf.dummyfunction("""COMPUTED_VALUE"""),"https://drive.google.com/open?id=1hCYl_q03OFGsQAfuNY9GvPlilY_p1e61, https://drive.google.com/open?id=1jlK1ic2KWfAnnXxc79BBfGParNZJKj5Y, https://drive.google.com/open?id=19uDYhgQUAmpj8D3Mf9_AXciU2N87dPbB")</f>
        <v>https://drive.google.com/open?id=1hCYl_q03OFGsQAfuNY9GvPlilY_p1e61, https://drive.google.com/open?id=1jlK1ic2KWfAnnXxc79BBfGParNZJKj5Y, https://drive.google.com/open?id=19uDYhgQUAmpj8D3Mf9_AXciU2N87dPbB</v>
      </c>
    </row>
    <row r="28" customFormat="false" ht="14.25" hidden="false" customHeight="false" outlineLevel="0" collapsed="false">
      <c r="A28" s="18" t="str">
        <f aca="false">IFERROR(MID(D28,1,FIND("|",D28)-1)&amp;"-"&amp;C28,"")</f>
        <v>AICI201909-4-1-3</v>
      </c>
      <c r="B28" s="19" t="n">
        <f aca="false">IFERROR(__xludf.dummyfunction("""COMPUTED_VALUE"""),44215)</f>
        <v>44215</v>
      </c>
      <c r="C28" s="0" t="n">
        <f aca="false">IFERROR(__xludf.dummyfunction("""COMPUTED_VALUE"""),3)</f>
        <v>3</v>
      </c>
      <c r="D28" s="0" t="str">
        <f aca="false">IFERROR(__xludf.dummyfunction("""COMPUTED_VALUE"""),"AICI201909-4-1| 1, Socializar la matriz de riesgos del laboratorio clínico en cada una de sus fases del procedimiento. (02/mar./2020 - 10/oct./2020)")</f>
        <v>AICI201909-4-1| 1, Socializar la matriz de riesgos del laboratorio clínico en cada una de sus fases del procedimiento. (02/mar./2020 - 10/oct./2020)</v>
      </c>
      <c r="E28" s="0" t="str">
        <f aca="false">IFERROR(__xludf.dummyfunction("""COMPUTED_VALUE"""),"se anexa socialización del mapa de riesgos del laboratorio clínico")</f>
        <v>se anexa socialización del mapa de riesgos del laboratorio clínico</v>
      </c>
      <c r="F28" s="0" t="str">
        <f aca="false">IFERROR(__xludf.dummyfunction("""COMPUTED_VALUE"""),"Completo")</f>
        <v>Completo</v>
      </c>
      <c r="G28" s="20" t="str">
        <f aca="false">IFERROR(__xludf.dummyfunction("""COMPUTED_VALUE"""),"https://drive.google.com/open?id=1pY4Z-pGPxir7thOfH5eyyZtaIry9HOLe")</f>
        <v>https://drive.google.com/open?id=1pY4Z-pGPxir7thOfH5eyyZtaIry9HOLe</v>
      </c>
    </row>
    <row r="29" customFormat="false" ht="14.25" hidden="false" customHeight="false" outlineLevel="0" collapsed="false">
      <c r="A29" s="18" t="str">
        <f aca="false">IFERROR(MID(D29,1,FIND("|",D29)-1)&amp;"-"&amp;C29,"")</f>
        <v>AICI201909-4-2-3</v>
      </c>
      <c r="B29" s="19" t="n">
        <f aca="false">IFERROR(__xludf.dummyfunction("""COMPUTED_VALUE"""),44215)</f>
        <v>44215</v>
      </c>
      <c r="C29" s="0" t="n">
        <f aca="false">IFERROR(__xludf.dummyfunction("""COMPUTED_VALUE"""),3)</f>
        <v>3</v>
      </c>
      <c r="D29" s="0" t="str">
        <f aca="false">IFERROR(__xludf.dummyfunction("""COMPUTED_VALUE"""),"AICI201909-4-2| 2.Establecer las herramientas de gestión de riesgos que incluyan la detección y medición de los mismos con el fin de orientar las estrategias de mitigación requeridas (02/mar./2020 - 10/oct./2020)")</f>
        <v>AICI201909-4-2| 2.Establecer las herramientas de gestión de riesgos que incluyan la detección y medición de los mismos con el fin de orientar las estrategias de mitigación requeridas (02/mar./2020 - 10/oct./2020)</v>
      </c>
      <c r="E29" s="0" t="str">
        <f aca="false">IFERROR(__xludf.dummyfunction("""COMPUTED_VALUE"""),"Se anexa la socialización de la Política de Riesgos y los indicadores de Oportunidad en los servicios de urgencias, Hospitalización y C.Externa")</f>
        <v>Se anexa la socialización de la Política de Riesgos y los indicadores de Oportunidad en los servicios de urgencias, Hospitalización y C.Externa</v>
      </c>
      <c r="F29" s="0" t="str">
        <f aca="false">IFERROR(__xludf.dummyfunction("""COMPUTED_VALUE"""),"Completo")</f>
        <v>Completo</v>
      </c>
      <c r="G29" s="0" t="str">
        <f aca="false">IFERROR(__xludf.dummyfunction("""COMPUTED_VALUE"""),"https://drive.google.com/open?id=1JGIrRYUCos1Lk23jJ25W2bFKITHByDQw, https://drive.google.com/open?id=1gi835SABpNSwasHqpMr8YIZijufnwAUD, https://drive.google.com/open?id=1gku6oDaq7iOvbIdYK1sxIaPCz4dDuK35, https://drive.google.com/open?id=1fiocYz3tCmQkkFgNX"&amp;"HahJ1tibJoZxIGY")</f>
        <v>https://drive.google.com/open?id=1JGIrRYUCos1Lk23jJ25W2bFKITHByDQw, https://drive.google.com/open?id=1gi835SABpNSwasHqpMr8YIZijufnwAUD, https://drive.google.com/open?id=1gku6oDaq7iOvbIdYK1sxIaPCz4dDuK35, https://drive.google.com/open?id=1fiocYz3tCmQkkFgNXHahJ1tibJoZxIGY</v>
      </c>
    </row>
    <row r="30" customFormat="false" ht="14.25" hidden="false" customHeight="false" outlineLevel="0" collapsed="false">
      <c r="A30" s="18" t="str">
        <f aca="false">IFERROR(MID(D30,1,FIND("|",D30)-1)&amp;"-"&amp;C30,"")</f>
        <v>AICI201909-6-1-3</v>
      </c>
      <c r="B30" s="19" t="n">
        <f aca="false">IFERROR(__xludf.dummyfunction("""COMPUTED_VALUE"""),44215)</f>
        <v>44215</v>
      </c>
      <c r="C30" s="0" t="n">
        <f aca="false">IFERROR(__xludf.dummyfunction("""COMPUTED_VALUE"""),3)</f>
        <v>3</v>
      </c>
      <c r="D30" s="0" t="str">
        <f aca="false">IFERROR(__xludf.dummyfunction("""COMPUTED_VALUE"""),"AICI201909-6-1| Realizar periódicamente auditoría relacionada con el diligenciamiento de formatos en las tomas de muestras y en las unidades de procesamiento (02/mar./2020 - 10/oct./2020)")</f>
        <v>AICI201909-6-1| Realizar periódicamente auditoría relacionada con el diligenciamiento de formatos en las tomas de muestras y en las unidades de procesamiento (02/mar./2020 - 10/oct./2020)</v>
      </c>
      <c r="E30" s="0" t="str">
        <f aca="false">IFERROR(__xludf.dummyfunction("""COMPUTED_VALUE"""),"Se observan listas de auditorias de verificación correspondientes al mes de septiembre que contienen la recepción documental")</f>
        <v>Se observan listas de auditorias de verificación correspondientes al mes de septiembre que contienen la recepción documental</v>
      </c>
      <c r="F30" s="0" t="str">
        <f aca="false">IFERROR(__xludf.dummyfunction("""COMPUTED_VALUE"""),"Completo")</f>
        <v>Completo</v>
      </c>
      <c r="G30" s="20" t="str">
        <f aca="false">IFERROR(__xludf.dummyfunction("""COMPUTED_VALUE"""),"https://drive.google.com/open?id=1RU4jIh76MbwOqJxY6eGm5KhEoOqsc4-k")</f>
        <v>https://drive.google.com/open?id=1RU4jIh76MbwOqJxY6eGm5KhEoOqsc4-k</v>
      </c>
    </row>
    <row r="31" customFormat="false" ht="14.25" hidden="false" customHeight="false" outlineLevel="0" collapsed="false">
      <c r="A31" s="18" t="str">
        <f aca="false">IFERROR(MID(D31,1,FIND("|",D31)-1)&amp;"-"&amp;C31,"")</f>
        <v>AICI201909-2-1-3</v>
      </c>
      <c r="B31" s="19" t="n">
        <f aca="false">IFERROR(__xludf.dummyfunction("""COMPUTED_VALUE"""),44217)</f>
        <v>44217</v>
      </c>
      <c r="C31" s="0" t="n">
        <f aca="false">IFERROR(__xludf.dummyfunction("""COMPUTED_VALUE"""),3)</f>
        <v>3</v>
      </c>
      <c r="D31" s="0" t="str">
        <f aca="false">IFERROR(__xludf.dummyfunction("""COMPUTED_VALUE"""),"AICI201909-2-1| Dotar con terhmohigrométros al 100% de las tomas de muestras y sitios de almacenamiento de insumos, con el fin de garantizar el control de la temperatura y humedad que repercute en la adecuada gestión de insumos (02/mar./2020 - 08/abr./202"&amp;"0)")</f>
        <v>AICI201909-2-1| Dotar con terhmohigrométros al 100% de las tomas de muestras y sitios de almacenamiento de insumos, con el fin de garantizar el control de la temperatura y humedad que repercute en la adecuada gestión de insumos (02/mar./2020 - 08/abr./2020)</v>
      </c>
      <c r="E31" s="0" t="str">
        <f aca="false">IFERROR(__xludf.dummyfunction("""COMPUTED_VALUE"""),"Se dotó con termohigrómetros todos los sitios de toma de muestras y almacenamiento, curva de temperatura de forma digital")</f>
        <v>Se dotó con termohigrómetros todos los sitios de toma de muestras y almacenamiento, curva de temperatura de forma digital</v>
      </c>
      <c r="F31" s="0" t="str">
        <f aca="false">IFERROR(__xludf.dummyfunction("""COMPUTED_VALUE"""),"Completo")</f>
        <v>Completo</v>
      </c>
      <c r="G31" s="20" t="str">
        <f aca="false">IFERROR(__xludf.dummyfunction("""COMPUTED_VALUE"""),"https://drive.google.com/open?id=1-XuNkZBEpt42k0KfrMXMChzt99UVWLVh")</f>
        <v>https://drive.google.com/open?id=1-XuNkZBEpt42k0KfrMXMChzt99UVWLVh</v>
      </c>
    </row>
    <row r="32" customFormat="false" ht="14.25" hidden="false" customHeight="false" outlineLevel="0" collapsed="false">
      <c r="A32" s="18" t="str">
        <f aca="false">IFERROR(MID(D32,1,FIND("|",D32)-1)&amp;"-"&amp;C32,"")</f>
        <v>AICI201909-5-1-3</v>
      </c>
      <c r="B32" s="19" t="n">
        <f aca="false">IFERROR(__xludf.dummyfunction("""COMPUTED_VALUE"""),44217)</f>
        <v>44217</v>
      </c>
      <c r="C32" s="0" t="n">
        <f aca="false">IFERROR(__xludf.dummyfunction("""COMPUTED_VALUE"""),3)</f>
        <v>3</v>
      </c>
      <c r="D32" s="0" t="str">
        <f aca="false">IFERROR(__xludf.dummyfunction("""COMPUTED_VALUE"""),"AICI201909-5-1| Establecer los Puntos Críticos de control en la actividad de separación de muestras en alícuotas con el fin de mitigar los riesgos de dicha actividad. (02/mar./2020 - 14/ago./2020)")</f>
        <v>AICI201909-5-1| Establecer los Puntos Críticos de control en la actividad de separación de muestras en alícuotas con el fin de mitigar los riesgos de dicha actividad. (02/mar./2020 - 14/ago./2020)</v>
      </c>
      <c r="E32" s="0" t="str">
        <f aca="false">IFERROR(__xludf.dummyfunction("""COMPUTED_VALUE"""),"Se anexa la modificación en el Manual de toma de muestras referente a las muestras que se separan")</f>
        <v>Se anexa la modificación en el Manual de toma de muestras referente a las muestras que se separan</v>
      </c>
      <c r="F32" s="0" t="str">
        <f aca="false">IFERROR(__xludf.dummyfunction("""COMPUTED_VALUE"""),"Completo")</f>
        <v>Completo</v>
      </c>
      <c r="G32" s="20" t="str">
        <f aca="false">IFERROR(__xludf.dummyfunction("""COMPUTED_VALUE"""),"https://drive.google.com/open?id=1grlhCMbYgM7j373bAnzedWmw8bckeLYC")</f>
        <v>https://drive.google.com/open?id=1grlhCMbYgM7j373bAnzedWmw8bckeLYC</v>
      </c>
    </row>
    <row r="33" customFormat="false" ht="14.25" hidden="false" customHeight="false" outlineLevel="0" collapsed="false">
      <c r="A33" s="18" t="str">
        <f aca="false">IFERROR(MID(D33,1,FIND("|",D33)-1)&amp;"-"&amp;C33,"")</f>
        <v>AICI201909-7-1-3</v>
      </c>
      <c r="B33" s="19" t="n">
        <f aca="false">IFERROR(__xludf.dummyfunction("""COMPUTED_VALUE"""),44217)</f>
        <v>44217</v>
      </c>
      <c r="C33" s="0" t="n">
        <f aca="false">IFERROR(__xludf.dummyfunction("""COMPUTED_VALUE"""),3)</f>
        <v>3</v>
      </c>
      <c r="D33" s="0" t="str">
        <f aca="false">IFERROR(__xludf.dummyfunction("""COMPUTED_VALUE"""),"AICI201909-7-1| Identificar los factores contribuyentes del incumplimiento del indicador y generar estrategias encaminadas a subsanar tiempo de oportunidad que se encuentren fuera de las metas establecidas en el POA (02/mar./2020 - 10/oct./2020)")</f>
        <v>AICI201909-7-1| Identificar los factores contribuyentes del incumplimiento del indicador y generar estrategias encaminadas a subsanar tiempo de oportunidad que se encuentren fuera de las metas establecidas en el POA (02/mar./2020 - 10/oct./2020)</v>
      </c>
      <c r="E33" s="0" t="str">
        <f aca="false">IFERROR(__xludf.dummyfunction("""COMPUTED_VALUE"""),"Se anexa indicador de oportunidad en Hospitalización del mes de noviembre, se observa cumplimiento de la meta durante todo el año")</f>
        <v>Se anexa indicador de oportunidad en Hospitalización del mes de noviembre, se observa cumplimiento de la meta durante todo el año</v>
      </c>
      <c r="F33" s="0" t="str">
        <f aca="false">IFERROR(__xludf.dummyfunction("""COMPUTED_VALUE"""),"Completo")</f>
        <v>Completo</v>
      </c>
      <c r="G33" s="20" t="str">
        <f aca="false">IFERROR(__xludf.dummyfunction("""COMPUTED_VALUE"""),"https://drive.google.com/open?id=1gQqAXCIZNnhCfjoFWHStv2hD9-njAmFB")</f>
        <v>https://drive.google.com/open?id=1gQqAXCIZNnhCfjoFWHStv2hD9-njAmFB</v>
      </c>
    </row>
    <row r="34" customFormat="false" ht="14.25" hidden="false" customHeight="false" outlineLevel="0" collapsed="false">
      <c r="A34" s="18" t="str">
        <f aca="false">IFERROR(MID(D34,1,FIND("|",D34)-1)&amp;"-"&amp;C34,"")</f>
        <v>AICI201909-8-1-3</v>
      </c>
      <c r="B34" s="19" t="n">
        <f aca="false">IFERROR(__xludf.dummyfunction("""COMPUTED_VALUE"""),44217)</f>
        <v>44217</v>
      </c>
      <c r="C34" s="0" t="n">
        <f aca="false">IFERROR(__xludf.dummyfunction("""COMPUTED_VALUE"""),3)</f>
        <v>3</v>
      </c>
      <c r="D34" s="0" t="str">
        <f aca="false">IFERROR(__xludf.dummyfunction("""COMPUTED_VALUE"""),"AICI201909-8-1| Realizar auditoria periódica al diligenciamiento de la totalidad de campos del formato de entrega de muestras por parte de la empresa transportadora que incluya la verificación de las temperaturas de recepción y entrega. (02/mar./2020 - 10"&amp;"/oct./2020)")</f>
        <v>AICI201909-8-1| Realizar auditoria periódica al diligenciamiento de la totalidad de campos del formato de entrega de muestras por parte de la empresa transportadora que incluya la verificación de las temperaturas de recepción y entrega. (02/mar./2020 - 10/oct./2020)</v>
      </c>
      <c r="E34" s="0" t="str">
        <f aca="false">IFERROR(__xludf.dummyfunction("""COMPUTED_VALUE"""),"Se realizó auditoría al transporte de muestras se anexa registro fotográfico, informe de auditoría y socialización del informe con oportunidades de mejora para las empresas transportadoras")</f>
        <v>Se realizó auditoría al transporte de muestras se anexa registro fotográfico, informe de auditoría y socialización del informe con oportunidades de mejora para las empresas transportadoras</v>
      </c>
      <c r="F34" s="0" t="str">
        <f aca="false">IFERROR(__xludf.dummyfunction("""COMPUTED_VALUE"""),"Completo")</f>
        <v>Completo</v>
      </c>
      <c r="G34" s="0" t="str">
        <f aca="false">IFERROR(__xludf.dummyfunction("""COMPUTED_VALUE"""),"https://drive.google.com/open?id=10NeDXAp5987hS68kwfXZmMQJxmkBHc78, https://drive.google.com/open?id=1fAmCKJTLXGHX2x_80FXhZY76Sh4zB5v_, https://drive.google.com/open?id=16eJ8as3Ni2DOfEuUaUSAn7WuLRlvjAGd, https://drive.google.com/open?id=14cNrI9oisynpqBKaa"&amp;"avMCX2cvVpCPA5V")</f>
        <v>https://drive.google.com/open?id=10NeDXAp5987hS68kwfXZmMQJxmkBHc78, https://drive.google.com/open?id=1fAmCKJTLXGHX2x_80FXhZY76Sh4zB5v_, https://drive.google.com/open?id=16eJ8as3Ni2DOfEuUaUSAn7WuLRlvjAGd, https://drive.google.com/open?id=14cNrI9oisynpqBKaaavMCX2cvVpCPA5V</v>
      </c>
    </row>
    <row r="35" customFormat="false" ht="14.25" hidden="false" customHeight="false" outlineLevel="0" collapsed="false">
      <c r="A35" s="18" t="str">
        <f aca="false">IFERROR(MID(D35,1,FIND("|",D35)-1)&amp;"-"&amp;C35,"")</f>
        <v>AICI201909-8-2-3</v>
      </c>
      <c r="B35" s="19" t="n">
        <f aca="false">IFERROR(__xludf.dummyfunction("""COMPUTED_VALUE"""),44217)</f>
        <v>44217</v>
      </c>
      <c r="C35" s="0" t="n">
        <f aca="false">IFERROR(__xludf.dummyfunction("""COMPUTED_VALUE"""),3)</f>
        <v>3</v>
      </c>
      <c r="D35" s="0" t="str">
        <f aca="false">IFERROR(__xludf.dummyfunction("""COMPUTED_VALUE"""),"AICI201909-8-2| Retroalimentar a la empresa transportadora respecto a los hallazgos de la auditoría con el fin de implementar oportunidades de mejora en caso de ser requeridas. (02/mar./2020 - 10/oct./2020)")</f>
        <v>AICI201909-8-2| Retroalimentar a la empresa transportadora respecto a los hallazgos de la auditoría con el fin de implementar oportunidades de mejora en caso de ser requeridas. (02/mar./2020 - 10/oct./2020)</v>
      </c>
      <c r="E35" s="0" t="str">
        <f aca="false">IFERROR(__xludf.dummyfunction("""COMPUTED_VALUE"""),"Se realizó la socialización del informe de auditoría a las empresas transportadoras, se anexa evidencia")</f>
        <v>Se realizó la socialización del informe de auditoría a las empresas transportadoras, se anexa evidencia</v>
      </c>
      <c r="F35" s="0" t="str">
        <f aca="false">IFERROR(__xludf.dummyfunction("""COMPUTED_VALUE"""),"Completo")</f>
        <v>Completo</v>
      </c>
      <c r="G35" s="20" t="str">
        <f aca="false">IFERROR(__xludf.dummyfunction("""COMPUTED_VALUE"""),"https://drive.google.com/open?id=1CSiDLnGjJf9DPYmCC34hg3SKed3RVQAO")</f>
        <v>https://drive.google.com/open?id=1CSiDLnGjJf9DPYmCC34hg3SKed3RVQAO</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row r="1000" customFormat="false" ht="14.25" hidden="false" customHeight="false" outlineLevel="0" collapsed="false">
      <c r="A1000" s="18" t="str">
        <f aca="false">IFERROR(MID(D1000,1,FIND("|",D1000)-1)&amp;"-"&amp;C1000,"")</f>
        <v/>
      </c>
    </row>
  </sheetData>
  <hyperlinks>
    <hyperlink ref="G7" r:id="rId1" display="https://drive.google.com/open?id=1uXEUlFTmECcbSpQ4cmH3Z5uSVXc6P0GJ"/>
    <hyperlink ref="G11" r:id="rId2" display="https://drive.google.com/open?id=1rayjBn8rjar7z3TOkSU4dBC77o7_toxs"/>
    <hyperlink ref="G14" r:id="rId3" display="https://drive.google.com/open?id=156hVXScP3cKfZuc1LCVPHTcTHbkCUng8"/>
    <hyperlink ref="G15" r:id="rId4" display="https://drive.google.com/open?id=1P0vEfqSpiPVLwVQhJ4GAx3lxWYs11kFk"/>
    <hyperlink ref="G17" r:id="rId5" display="https://drive.google.com/open?id=1yM1JIHKJaSw4K4Gljirm02U-Dd9ZW9dJ"/>
    <hyperlink ref="G21" r:id="rId6" display="https://drive.google.com/open?id=1d4FLoH5-aGCnBHjB_n32MkcEKmP5eQVW"/>
    <hyperlink ref="G25" r:id="rId7" display="https://drive.google.com/open?id=1q5sMdISQCNIGWusR-fDj8vzZG-cWglUc"/>
    <hyperlink ref="G28" r:id="rId8" display="https://drive.google.com/open?id=1pY4Z-pGPxir7thOfH5eyyZtaIry9HOLe"/>
    <hyperlink ref="G30" r:id="rId9" display="https://drive.google.com/open?id=1RU4jIh76MbwOqJxY6eGm5KhEoOqsc4-k"/>
    <hyperlink ref="G31" r:id="rId10" display="https://drive.google.com/open?id=1-XuNkZBEpt42k0KfrMXMChzt99UVWLVh"/>
    <hyperlink ref="G32" r:id="rId11" display="https://drive.google.com/open?id=1grlhCMbYgM7j373bAnzedWmw8bckeLYC"/>
    <hyperlink ref="G33" r:id="rId12" display="https://drive.google.com/open?id=1gQqAXCIZNnhCfjoFWHStv2hD9-njAmFB"/>
    <hyperlink ref="G35" r:id="rId13" display="https://drive.google.com/open?id=1CSiDLnGjJf9DPYmCC34hg3SKed3RVQAO"/>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6.42"/>
  </cols>
  <sheetData>
    <row r="1" customFormat="false" ht="12.75" hidden="false" customHeight="false" outlineLevel="0" collapsed="false">
      <c r="A1" s="13" t="s">
        <v>1828</v>
      </c>
      <c r="B1" s="13" t="s">
        <v>1779</v>
      </c>
      <c r="C1" s="13" t="s">
        <v>1780</v>
      </c>
      <c r="D1" s="13" t="s">
        <v>1781</v>
      </c>
      <c r="E1" s="13" t="s">
        <v>1782</v>
      </c>
      <c r="F1" s="13" t="s">
        <v>1783</v>
      </c>
      <c r="G1" s="13" t="s">
        <v>1784</v>
      </c>
    </row>
    <row r="2" customFormat="false" ht="6.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AICI201908-1-1-1</v>
      </c>
      <c r="B4" s="19" t="n">
        <f aca="false">IFERROR(__xludf.dummyfunction("""COMPUTED_VALUE"""),44035)</f>
        <v>44035</v>
      </c>
      <c r="C4" s="0" t="n">
        <f aca="false">IFERROR(__xludf.dummyfunction("""COMPUTED_VALUE"""),1)</f>
        <v>1</v>
      </c>
      <c r="D4" s="0" t="str">
        <f aca="false">IFERROR(__xludf.dummyfunction("""COMPUTED_VALUE"""),"AICI201908-1-1| Ajustar y socializar el programa de documentos vitales o esenciales. (03/02/2020 - 31/03/2020)")</f>
        <v>AICI201908-1-1| Ajustar y socializar el programa de documentos vitales o esenciales. (03/02/2020 - 31/03/2020)</v>
      </c>
      <c r="E4" s="0" t="str">
        <f aca="false">IFERROR(__xludf.dummyfunction("""COMPUTED_VALUE"""),"El documento del programa de documentos vitales o esenciales, se encuentra actualizado en la intranet con el código CÓDIGO: AP-GI-PR-02-01.")</f>
        <v>El documento del programa de documentos vitales o esenciales, se encuentra actualizado en la intranet con el código CÓDIGO: AP-GI-PR-02-01.</v>
      </c>
      <c r="F4" s="0" t="str">
        <f aca="false">IFERROR(__xludf.dummyfunction("""COMPUTED_VALUE"""),"Completo")</f>
        <v>Completo</v>
      </c>
    </row>
    <row r="5" customFormat="false" ht="14.25" hidden="false" customHeight="false" outlineLevel="0" collapsed="false">
      <c r="A5" s="18" t="str">
        <f aca="false">IFERROR(MID(D5,1,FIND("|",D5)-1)&amp;"-"&amp;C5,"")</f>
        <v>AICI201908-2-1-1</v>
      </c>
      <c r="B5" s="19" t="n">
        <f aca="false">IFERROR(__xludf.dummyfunction("""COMPUTED_VALUE"""),44035)</f>
        <v>44035</v>
      </c>
      <c r="C5" s="0" t="n">
        <f aca="false">IFERROR(__xludf.dummyfunction("""COMPUTED_VALUE"""),1)</f>
        <v>1</v>
      </c>
      <c r="D5" s="0" t="str">
        <f aca="false">IFERROR(__xludf.dummyfunction("""COMPUTED_VALUE"""),"AICI201908-2-1| Intervenir el Fondo documental administrativo acumulado del Hospital Engativa según TVD (02/05/2019 - 30/12/2020)")</f>
        <v>AICI201908-2-1| Intervenir el Fondo documental administrativo acumulado del Hospital Engativa según TVD (02/05/2019 - 30/12/2020)</v>
      </c>
      <c r="E5" s="0" t="str">
        <f aca="false">IFERROR(__xludf.dummyfunction("""COMPUTED_VALUE"""),"El Fondo documental administrativo acumulado del Hospital Engativá, se ha venido ejecutando de acuerdo con el informe avance de inventario,  el cual se adjunta como evidencia.")</f>
        <v>El Fondo documental administrativo acumulado del Hospital Engativá, se ha venido ejecutando de acuerdo con el informe avance de inventario,  el cual se adjunta como evidencia.</v>
      </c>
      <c r="F5" s="0" t="str">
        <f aca="false">IFERROR(__xludf.dummyfunction("""COMPUTED_VALUE"""),"En desarrollo")</f>
        <v>En desarrollo</v>
      </c>
      <c r="G5" s="20" t="str">
        <f aca="false">IFERROR(__xludf.dummyfunction("""COMPUTED_VALUE"""),"https://drive.google.com/open?id=1vfA-5HM4Cf0CLogrJ3HyPplQlp8iTMcP")</f>
        <v>https://drive.google.com/open?id=1vfA-5HM4Cf0CLogrJ3HyPplQlp8iTMcP</v>
      </c>
    </row>
    <row r="6" customFormat="false" ht="14.25" hidden="false" customHeight="false" outlineLevel="0" collapsed="false">
      <c r="A6" s="18" t="str">
        <f aca="false">IFERROR(MID(D6,1,FIND("|",D6)-1)&amp;"-"&amp;C6,"")</f>
        <v>AICI201908-3-1-1</v>
      </c>
      <c r="B6" s="19" t="n">
        <f aca="false">IFERROR(__xludf.dummyfunction("""COMPUTED_VALUE"""),44035)</f>
        <v>44035</v>
      </c>
      <c r="C6" s="0" t="n">
        <f aca="false">IFERROR(__xludf.dummyfunction("""COMPUTED_VALUE"""),1)</f>
        <v>1</v>
      </c>
      <c r="D6" s="0" t="str">
        <f aca="false">IFERROR(__xludf.dummyfunction("""COMPUTED_VALUE"""),"AICI201908-3-1| Ajustar los indicadores de la politica 3 ""Nivel de satisfaccion"" (31/01/2020 - 29/02/2020)")</f>
        <v>AICI201908-3-1| Ajustar los indicadores de la politica 3 "Nivel de satisfaccion" (31/01/2020 - 29/02/2020)</v>
      </c>
      <c r="E6" s="0" t="str">
        <f aca="false">IFERROR(__xludf.dummyfunction("""COMPUTED_VALUE"""),"Se elaboró la hoja de vida del indicador de satisfacción y se viene aplicando desde inicio de la actual vigencia.  Se adjunta la hoja de vida del indicador como evidencia.")</f>
        <v>Se elaboró la hoja de vida del indicador de satisfacción y se viene aplicando desde inicio de la actual vigencia.  Se adjunta la hoja de vida del indicador como evidencia.</v>
      </c>
      <c r="F6" s="0" t="str">
        <f aca="false">IFERROR(__xludf.dummyfunction("""COMPUTED_VALUE"""),"Completo")</f>
        <v>Completo</v>
      </c>
      <c r="G6" s="20" t="str">
        <f aca="false">IFERROR(__xludf.dummyfunction("""COMPUTED_VALUE"""),"https://drive.google.com/open?id=1QRPPS2lMc-EephIXJN5b_faI5-ATgrGF")</f>
        <v>https://drive.google.com/open?id=1QRPPS2lMc-EephIXJN5b_faI5-ATgrGF</v>
      </c>
    </row>
    <row r="7" customFormat="false" ht="14.25" hidden="false" customHeight="false" outlineLevel="0" collapsed="false">
      <c r="A7" s="18" t="str">
        <f aca="false">IFERROR(MID(D7,1,FIND("|",D7)-1)&amp;"-"&amp;C7,"")</f>
        <v>AICI201908-4-1-1</v>
      </c>
      <c r="B7" s="19" t="n">
        <f aca="false">IFERROR(__xludf.dummyfunction("""COMPUTED_VALUE"""),44035)</f>
        <v>44035</v>
      </c>
      <c r="C7" s="0" t="n">
        <f aca="false">IFERROR(__xludf.dummyfunction("""COMPUTED_VALUE"""),1)</f>
        <v>1</v>
      </c>
      <c r="D7" s="0" t="str">
        <f aca="false">IFERROR(__xludf.dummyfunction("""COMPUTED_VALUE"""),"AICI201908-4-1| Realizar una evaluación del estado del plan de mejora de Archivo Distrital y dar continuidad al desarrollo de las actividades planteadas para la Subred. (02/01/2020 - 31/12/2020)")</f>
        <v>AICI201908-4-1| Realizar una evaluación del estado del plan de mejora de Archivo Distrital y dar continuidad al desarrollo de las actividades planteadas para la Subred. (02/01/2020 - 31/12/2020)</v>
      </c>
      <c r="E7" s="0" t="str">
        <f aca="false">IFERROR(__xludf.dummyfunction("""COMPUTED_VALUE"""),"Se evidencia seguimiento al plan de mejora del archivo Distrital 2019.  Se adjunta plan de mejoramiento diligenciado.")</f>
        <v>Se evidencia seguimiento al plan de mejora del archivo Distrital 2019.  Se adjunta plan de mejoramiento diligenciado.</v>
      </c>
      <c r="F7" s="0" t="str">
        <f aca="false">IFERROR(__xludf.dummyfunction("""COMPUTED_VALUE"""),"En desarrollo")</f>
        <v>En desarrollo</v>
      </c>
      <c r="G7" s="20" t="str">
        <f aca="false">IFERROR(__xludf.dummyfunction("""COMPUTED_VALUE"""),"https://drive.google.com/open?id=1k9N2IqyNCPDae6tWnz4uTSdFTtiF5lPd")</f>
        <v>https://drive.google.com/open?id=1k9N2IqyNCPDae6tWnz4uTSdFTtiF5lPd</v>
      </c>
    </row>
    <row r="8" customFormat="false" ht="14.25" hidden="false" customHeight="false" outlineLevel="0" collapsed="false">
      <c r="A8" s="18" t="str">
        <f aca="false">IFERROR(MID(D8,1,FIND("|",D8)-1)&amp;"-"&amp;C8,"")</f>
        <v>AICI201908-5-1-1</v>
      </c>
      <c r="B8" s="19" t="n">
        <f aca="false">IFERROR(__xludf.dummyfunction("""COMPUTED_VALUE"""),44035)</f>
        <v>44035</v>
      </c>
      <c r="C8" s="0" t="n">
        <f aca="false">IFERROR(__xludf.dummyfunction("""COMPUTED_VALUE"""),1)</f>
        <v>1</v>
      </c>
      <c r="D8" s="0" t="str">
        <f aca="false">IFERROR(__xludf.dummyfunction("""COMPUTED_VALUE"""),"AICI201908-5-1| Ajustar la matriz de riesgos de acuerdo con la nueva metodologia para el año 2020. (02/01/2020 - 31/01/2020)")</f>
        <v>AICI201908-5-1| Ajustar la matriz de riesgos de acuerdo con la nueva metodologia para el año 2020. (02/01/2020 - 31/01/2020)</v>
      </c>
      <c r="E8" s="0" t="str">
        <f aca="false">IFERROR(__xludf.dummyfunction("""COMPUTED_VALUE"""),"Se evidencia la actualización de los riesgos a Abril de 2020, se adjunta matriz de riesgos.")</f>
        <v>Se evidencia la actualización de los riesgos a Abril de 2020, se adjunta matriz de riesgos.</v>
      </c>
      <c r="F8" s="0" t="str">
        <f aca="false">IFERROR(__xludf.dummyfunction("""COMPUTED_VALUE"""),"Completo")</f>
        <v>Completo</v>
      </c>
      <c r="G8" s="20" t="str">
        <f aca="false">IFERROR(__xludf.dummyfunction("""COMPUTED_VALUE"""),"https://drive.google.com/open?id=1ePh7KI0XSHpRY1W1IEON0wOTV36CIiGZ")</f>
        <v>https://drive.google.com/open?id=1ePh7KI0XSHpRY1W1IEON0wOTV36CIiGZ</v>
      </c>
    </row>
    <row r="9" customFormat="false" ht="14.25" hidden="false" customHeight="false" outlineLevel="0" collapsed="false">
      <c r="A9" s="18" t="str">
        <f aca="false">IFERROR(MID(D9,1,FIND("|",D9)-1)&amp;"-"&amp;C9,"")</f>
        <v>AICI201908-6-1-1</v>
      </c>
      <c r="B9" s="19" t="n">
        <f aca="false">IFERROR(__xludf.dummyfunction("""COMPUTED_VALUE"""),44035)</f>
        <v>44035</v>
      </c>
      <c r="C9" s="0" t="n">
        <f aca="false">IFERROR(__xludf.dummyfunction("""COMPUTED_VALUE"""),1)</f>
        <v>1</v>
      </c>
      <c r="D9" s="0" t="str">
        <f aca="false">IFERROR(__xludf.dummyfunction("""COMPUTED_VALUE"""),"AICI201908-6-1| Realizar la parametrización correspondiente para ajustar la tipología documental definida en la ley en el Software version 3.7. (16/12/2019 - 31/01/2020)")</f>
        <v>AICI201908-6-1| Realizar la parametrización correspondiente para ajustar la tipología documental definida en la ley en el Software version 3.7. (16/12/2019 - 31/01/2020)</v>
      </c>
      <c r="E9" s="0" t="str">
        <f aca="false">IFERROR(__xludf.dummyfunction("""COMPUTED_VALUE"""),"Se evidencia el ajuste de la tipología Documental en la nueva versión de el software 3.7. Se adjunta pantallazo de la parametrización.")</f>
        <v>Se evidencia el ajuste de la tipología Documental en la nueva versión de el software 3.7. Se adjunta pantallazo de la parametrización.</v>
      </c>
      <c r="F9" s="0" t="str">
        <f aca="false">IFERROR(__xludf.dummyfunction("""COMPUTED_VALUE"""),"Completo")</f>
        <v>Completo</v>
      </c>
      <c r="G9" s="20" t="str">
        <f aca="false">IFERROR(__xludf.dummyfunction("""COMPUTED_VALUE"""),"https://drive.google.com/open?id=1rnZQcXEMC77AFArQ2o8mth_BjSU-DEfB")</f>
        <v>https://drive.google.com/open?id=1rnZQcXEMC77AFArQ2o8mth_BjSU-DEfB</v>
      </c>
    </row>
    <row r="10" customFormat="false" ht="14.25" hidden="false" customHeight="false" outlineLevel="0" collapsed="false">
      <c r="A10" s="18" t="str">
        <f aca="false">IFERROR(MID(D10,1,FIND("|",D10)-1)&amp;"-"&amp;C10,"")</f>
        <v>AICI201908-7-1-1</v>
      </c>
      <c r="B10" s="19" t="n">
        <f aca="false">IFERROR(__xludf.dummyfunction("""COMPUTED_VALUE"""),44035)</f>
        <v>44035</v>
      </c>
      <c r="C10" s="0" t="n">
        <f aca="false">IFERROR(__xludf.dummyfunction("""COMPUTED_VALUE"""),1)</f>
        <v>1</v>
      </c>
      <c r="D10" s="0" t="str">
        <f aca="false">IFERROR(__xludf.dummyfunction("""COMPUTED_VALUE"""),"AICI201908-7-1| Ajustar el procedimiento de Gestion Documental. (29/02/2020 - 31/03/2020)")</f>
        <v>AICI201908-7-1| Ajustar el procedimiento de Gestion Documental. (29/02/2020 - 31/03/2020)</v>
      </c>
      <c r="E10" s="0" t="str">
        <f aca="false">IFERROR(__xludf.dummyfunction("""COMPUTED_VALUE"""),"Se evidencia actualización del procedimiento con fecha abril de 2020 y con el código AP-GI-P-01-04.")</f>
        <v>Se evidencia actualización del procedimiento con fecha abril de 2020 y con el código AP-GI-P-01-04.</v>
      </c>
      <c r="F10" s="0" t="str">
        <f aca="false">IFERROR(__xludf.dummyfunction("""COMPUTED_VALUE"""),"Completo")</f>
        <v>Completo</v>
      </c>
    </row>
    <row r="11" customFormat="false" ht="14.25" hidden="false" customHeight="false" outlineLevel="0" collapsed="false">
      <c r="A11" s="18" t="str">
        <f aca="false">IFERROR(MID(D11,1,FIND("|",D11)-1)&amp;"-"&amp;C11,"")</f>
        <v>AICI201908-7-2-1</v>
      </c>
      <c r="B11" s="19" t="n">
        <f aca="false">IFERROR(__xludf.dummyfunction("""COMPUTED_VALUE"""),44035)</f>
        <v>44035</v>
      </c>
      <c r="C11" s="0" t="n">
        <f aca="false">IFERROR(__xludf.dummyfunction("""COMPUTED_VALUE"""),1)</f>
        <v>1</v>
      </c>
      <c r="D11" s="0" t="str">
        <f aca="false">IFERROR(__xludf.dummyfunction("""COMPUTED_VALUE"""),"AICI201908-7-2| Realizar dos seguimientos en las fechas planteadas al procedimiento de gestion documental en el mes de mayo y octubre. (29/02/2020 - 31/03/2020)")</f>
        <v>AICI201908-7-2| Realizar dos seguimientos en las fechas planteadas al procedimiento de gestion documental en el mes de mayo y octubre. (29/02/2020 - 31/03/2020)</v>
      </c>
      <c r="E11" s="0" t="str">
        <f aca="false">IFERROR(__xludf.dummyfunction("""COMPUTED_VALUE"""),"Por fuerza mayor debido a la emergencia sanitaria de la pandemia por covid 19, no fué posible ejecutar el seguimiento al procedimiento de gestión documental, planteado para el mes de mayo de la vigencia 2020.")</f>
        <v>Por fuerza mayor debido a la emergencia sanitaria de la pandemia por covid 19, no fué posible ejecutar el seguimiento al procedimiento de gestión documental, planteado para el mes de mayo de la vigencia 2020.</v>
      </c>
      <c r="F11" s="0" t="str">
        <f aca="false">IFERROR(__xludf.dummyfunction("""COMPUTED_VALUE"""),"En desarrollo")</f>
        <v>En desarrollo</v>
      </c>
    </row>
    <row r="12" customFormat="false" ht="14.25" hidden="false" customHeight="false" outlineLevel="0" collapsed="false">
      <c r="A12" s="18" t="str">
        <f aca="false">IFERROR(MID(D12,1,FIND("|",D12)-1)&amp;"-"&amp;C12,"")</f>
        <v>AICI201908-8-1-1</v>
      </c>
      <c r="B12" s="19" t="n">
        <f aca="false">IFERROR(__xludf.dummyfunction("""COMPUTED_VALUE"""),44035)</f>
        <v>44035</v>
      </c>
      <c r="C12" s="0" t="n">
        <f aca="false">IFERROR(__xludf.dummyfunction("""COMPUTED_VALUE"""),1)</f>
        <v>1</v>
      </c>
      <c r="D12" s="0" t="str">
        <f aca="false">IFERROR(__xludf.dummyfunction("""COMPUTED_VALUE"""),"AICI201908-8-1| Solicitar la caracterización del tramite en SUIT de acuerdo con el manual de historias clinicas. (02/01/2020 - 29/02/2020)")</f>
        <v>AICI201908-8-1| Solicitar la caracterización del tramite en SUIT de acuerdo con el manual de historias clinicas. (02/01/2020 - 29/02/2020)</v>
      </c>
      <c r="E12" s="0" t="str">
        <f aca="false">IFERROR(__xludf.dummyfunction("""COMPUTED_VALUE"""),"Se realizo la gestión de actualizar el trámite de historias clínicas en el SUIT; sin embargo por restricciones generales de la plataforma, los horarios no se ha podido actualizar.  Se adjunta link de acceso http://visor.suit.gov.co/VisorSUIT/index.jsf?FI="&amp;"46994")</f>
        <v>Se realizo la gestión de actualizar el trámite de historias clínicas en el SUIT; sin embargo por restricciones generales de la plataforma, los horarios no se ha podido actualizar.  Se adjunta link de acceso http://visor.suit.gov.co/VisorSUIT/index.jsf?FI=46994</v>
      </c>
      <c r="F12" s="0" t="str">
        <f aca="false">IFERROR(__xludf.dummyfunction("""COMPUTED_VALUE"""),"Completo")</f>
        <v>Completo</v>
      </c>
    </row>
    <row r="13" customFormat="false" ht="14.25" hidden="false" customHeight="false" outlineLevel="0" collapsed="false">
      <c r="A13" s="18" t="str">
        <f aca="false">IFERROR(MID(D13,1,FIND("|",D13)-1)&amp;"-"&amp;C13,"")</f>
        <v>AICI201908-10-1-1</v>
      </c>
      <c r="B13" s="19" t="n">
        <f aca="false">IFERROR(__xludf.dummyfunction("""COMPUTED_VALUE"""),44035)</f>
        <v>44035</v>
      </c>
      <c r="C13" s="0" t="n">
        <f aca="false">IFERROR(__xludf.dummyfunction("""COMPUTED_VALUE"""),1)</f>
        <v>1</v>
      </c>
      <c r="D13" s="0" t="str">
        <f aca="false">IFERROR(__xludf.dummyfunction("""COMPUTED_VALUE"""),"AICI201908-10-1| Realizar cierre de este contrato con los ajustes al sistema de acuerdo a lo contratado. (02/01/2020 - 31/01/2020)")</f>
        <v>AICI201908-10-1| Realizar cierre de este contrato con los ajustes al sistema de acuerdo a lo contratado. (02/01/2020 - 31/01/2020)</v>
      </c>
      <c r="E13" s="0" t="str">
        <f aca="false">IFERROR(__xludf.dummyfunction("""COMPUTED_VALUE"""),"Los ajustes al sistema ORFEO fueron realizados e implementados.")</f>
        <v>Los ajustes al sistema ORFEO fueron realizados e implementados.</v>
      </c>
      <c r="F13" s="0" t="str">
        <f aca="false">IFERROR(__xludf.dummyfunction("""COMPUTED_VALUE"""),"Completo")</f>
        <v>Completo</v>
      </c>
    </row>
    <row r="14" customFormat="false" ht="14.25" hidden="false" customHeight="false" outlineLevel="0" collapsed="false">
      <c r="A14" s="18" t="str">
        <f aca="false">IFERROR(MID(D14,1,FIND("|",D14)-1)&amp;"-"&amp;C14,"")</f>
        <v>AICI201908-11-1-1</v>
      </c>
      <c r="B14" s="19" t="n">
        <f aca="false">IFERROR(__xludf.dummyfunction("""COMPUTED_VALUE"""),44035)</f>
        <v>44035</v>
      </c>
      <c r="C14" s="0" t="n">
        <f aca="false">IFERROR(__xludf.dummyfunction("""COMPUTED_VALUE"""),1)</f>
        <v>1</v>
      </c>
      <c r="D14" s="0" t="str">
        <f aca="false">IFERROR(__xludf.dummyfunction("""COMPUTED_VALUE"""),"AICI201908-11-1| Elaborar el plan de contingencia para el software de gestion Documental ORFEO. (01/04/2020 - 30/04/2020)")</f>
        <v>AICI201908-11-1| Elaborar el plan de contingencia para el software de gestion Documental ORFEO. (01/04/2020 - 30/04/2020)</v>
      </c>
      <c r="E14" s="0" t="str">
        <f aca="false">IFERROR(__xludf.dummyfunction("""COMPUTED_VALUE"""),"El plan de contingencia para  el software de gestión Documental ORFEO se encuentra en elaboración.")</f>
        <v>El plan de contingencia para  el software de gestión Documental ORFEO se encuentra en elaboración.</v>
      </c>
      <c r="F14" s="0" t="str">
        <f aca="false">IFERROR(__xludf.dummyfunction("""COMPUTED_VALUE"""),"Atrasado")</f>
        <v>Atrasado</v>
      </c>
    </row>
    <row r="15" customFormat="false" ht="14.25" hidden="false" customHeight="false" outlineLevel="0" collapsed="false">
      <c r="A15" s="18" t="str">
        <f aca="false">IFERROR(MID(D15,1,FIND("|",D15)-1)&amp;"-"&amp;C15,"")</f>
        <v>AICI201908-11-2-1</v>
      </c>
      <c r="B15" s="19" t="n">
        <f aca="false">IFERROR(__xludf.dummyfunction("""COMPUTED_VALUE"""),44035)</f>
        <v>44035</v>
      </c>
      <c r="C15" s="0" t="n">
        <f aca="false">IFERROR(__xludf.dummyfunction("""COMPUTED_VALUE"""),1)</f>
        <v>1</v>
      </c>
      <c r="D15" s="0" t="str">
        <f aca="false">IFERROR(__xludf.dummyfunction("""COMPUTED_VALUE"""),"AICI201908-11-2| Aprobar el plan de contingencia en el comité de gestion y desempeño. (01/06/2020 - 30/06/2020)")</f>
        <v>AICI201908-11-2| Aprobar el plan de contingencia en el comité de gestion y desempeño. (01/06/2020 - 30/06/2020)</v>
      </c>
      <c r="E15" s="0" t="str">
        <f aca="false">IFERROR(__xludf.dummyfunction("""COMPUTED_VALUE"""),"El plan de contingencia para  el software de gestión Documental ORFEO se encuentra en elaboración.")</f>
        <v>El plan de contingencia para  el software de gestión Documental ORFEO se encuentra en elaboración.</v>
      </c>
      <c r="F15" s="0" t="str">
        <f aca="false">IFERROR(__xludf.dummyfunction("""COMPUTED_VALUE"""),"Atrasado")</f>
        <v>Atrasado</v>
      </c>
    </row>
    <row r="16" customFormat="false" ht="14.25" hidden="false" customHeight="false" outlineLevel="0" collapsed="false">
      <c r="A16" s="18" t="str">
        <f aca="false">IFERROR(MID(D16,1,FIND("|",D16)-1)&amp;"-"&amp;C16,"")</f>
        <v>AICI201908-12-1-1</v>
      </c>
      <c r="B16" s="19" t="n">
        <f aca="false">IFERROR(__xludf.dummyfunction("""COMPUTED_VALUE"""),44035)</f>
        <v>44035</v>
      </c>
      <c r="C16" s="0" t="n">
        <f aca="false">IFERROR(__xludf.dummyfunction("""COMPUTED_VALUE"""),1)</f>
        <v>1</v>
      </c>
      <c r="D16" s="0" t="str">
        <f aca="false">IFERROR(__xludf.dummyfunction("""COMPUTED_VALUE"""),"AICI201908-12-1| Actualizar los activos de informacion de la subred una vez se hayan identificado los tipos documentales que den lugar a lo mismo (03/08/2020 - 30/09/2020)")</f>
        <v>AICI201908-12-1| Actualizar los activos de informacion de la subred una vez se hayan identificado los tipos documentales que den lugar a lo mismo (03/08/2020 - 30/09/2020)</v>
      </c>
      <c r="E16" s="0" t="str">
        <f aca="false">IFERROR(__xludf.dummyfunction("""COMPUTED_VALUE"""),"La actividad de actualización de activos de información, se encuentra en ejecución.")</f>
        <v>La actividad de actualización de activos de información, se encuentra en ejecución.</v>
      </c>
      <c r="F16" s="0" t="str">
        <f aca="false">IFERROR(__xludf.dummyfunction("""COMPUTED_VALUE"""),"En desarrollo")</f>
        <v>En desarrollo</v>
      </c>
    </row>
    <row r="17" customFormat="false" ht="14.25" hidden="false" customHeight="false" outlineLevel="0" collapsed="false">
      <c r="A17" s="18" t="str">
        <f aca="false">IFERROR(MID(D17,1,FIND("|",D17)-1)&amp;"-"&amp;C17,"")</f>
        <v>AICI201908-13-1-1</v>
      </c>
      <c r="B17" s="19" t="n">
        <f aca="false">IFERROR(__xludf.dummyfunction("""COMPUTED_VALUE"""),44035)</f>
        <v>44035</v>
      </c>
      <c r="C17" s="0" t="n">
        <f aca="false">IFERROR(__xludf.dummyfunction("""COMPUTED_VALUE"""),1)</f>
        <v>1</v>
      </c>
      <c r="D17" s="0" t="str">
        <f aca="false">IFERROR(__xludf.dummyfunction("""COMPUTED_VALUE"""),"AICI201908-13-1| Solicitar la revision de la Tabla de control de accesos al area deJuridica (01/07/2020 - 31/08/2020)")</f>
        <v>AICI201908-13-1| Solicitar la revision de la Tabla de control de accesos al area deJuridica (01/07/2020 - 31/08/2020)</v>
      </c>
      <c r="E17" s="0" t="str">
        <f aca="false">IFERROR(__xludf.dummyfunction("""COMPUTED_VALUE"""),"La actividad de revisión y actualización de la Tabla de control de accesos, se encuentra en ejecución.")</f>
        <v>La actividad de revisión y actualización de la Tabla de control de accesos, se encuentra en ejecución.</v>
      </c>
      <c r="F17" s="0" t="str">
        <f aca="false">IFERROR(__xludf.dummyfunction("""COMPUTED_VALUE"""),"En desarrollo")</f>
        <v>En desarrollo</v>
      </c>
    </row>
    <row r="18" customFormat="false" ht="14.25" hidden="false" customHeight="false" outlineLevel="0" collapsed="false">
      <c r="A18" s="18" t="str">
        <f aca="false">IFERROR(MID(D18,1,FIND("|",D18)-1)&amp;"-"&amp;C18,"")</f>
        <v>AICI201908-14-1-1</v>
      </c>
      <c r="B18" s="19" t="n">
        <f aca="false">IFERROR(__xludf.dummyfunction("""COMPUTED_VALUE"""),44035)</f>
        <v>44035</v>
      </c>
      <c r="C18" s="0" t="n">
        <f aca="false">IFERROR(__xludf.dummyfunction("""COMPUTED_VALUE"""),1)</f>
        <v>1</v>
      </c>
      <c r="D18" s="0" t="str">
        <f aca="false">IFERROR(__xludf.dummyfunction("""COMPUTED_VALUE"""),"AICI201908-14-1| Realizar ajusteal indice informacion claisificada y reservada (01/09/2020 - 30/09/2020)")</f>
        <v>AICI201908-14-1| Realizar ajusteal indice informacion claisificada y reservada (01/09/2020 - 30/09/2020)</v>
      </c>
      <c r="E18" s="0" t="str">
        <f aca="false">IFERROR(__xludf.dummyfunction("""COMPUTED_VALUE"""),"El ajuste al índice de información clasificada y reservada se tiene planteado para el mes de septiembre de 2020.")</f>
        <v>El ajuste al índice de información clasificada y reservada se tiene planteado para el mes de septiembre de 2020.</v>
      </c>
      <c r="F18" s="0" t="str">
        <f aca="false">IFERROR(__xludf.dummyfunction("""COMPUTED_VALUE"""),"No iniciado")</f>
        <v>No iniciado</v>
      </c>
    </row>
    <row r="19" customFormat="false" ht="14.25" hidden="false" customHeight="false" outlineLevel="0" collapsed="false">
      <c r="A19" s="18" t="str">
        <f aca="false">IFERROR(MID(D19,1,FIND("|",D19)-1)&amp;"-"&amp;C19,"")</f>
        <v>AICI201908-1-1-2</v>
      </c>
      <c r="B19" s="19" t="n">
        <f aca="false">IFERROR(__xludf.dummyfunction("""COMPUTED_VALUE"""),44363)</f>
        <v>44363</v>
      </c>
      <c r="C19" s="0" t="n">
        <f aca="false">IFERROR(__xludf.dummyfunction("""COMPUTED_VALUE"""),2)</f>
        <v>2</v>
      </c>
      <c r="D19" s="0" t="str">
        <f aca="false">IFERROR(__xludf.dummyfunction("""COMPUTED_VALUE"""),"AICI201908-1-1| Ajustar y socializar el programa de documentos vitales o esenciales. (03/02/2020 - 31/03/2020)")</f>
        <v>AICI201908-1-1| Ajustar y socializar el programa de documentos vitales o esenciales. (03/02/2020 - 31/03/2020)</v>
      </c>
      <c r="E19" s="0" t="str">
        <f aca="false">IFERROR(__xludf.dummyfunction("""COMPUTED_VALUE"""),"Acción valorada completa en el seguimiento anterior")</f>
        <v>Acción valorada completa en el seguimiento anterior</v>
      </c>
      <c r="F19" s="0" t="str">
        <f aca="false">IFERROR(__xludf.dummyfunction("""COMPUTED_VALUE"""),"Completo")</f>
        <v>Completo</v>
      </c>
    </row>
    <row r="20" customFormat="false" ht="14.25" hidden="false" customHeight="false" outlineLevel="0" collapsed="false">
      <c r="A20" s="18" t="str">
        <f aca="false">IFERROR(MID(D20,1,FIND("|",D20)-1)&amp;"-"&amp;C20,"")</f>
        <v>AICI201908-3-1-2</v>
      </c>
      <c r="B20" s="19" t="n">
        <f aca="false">IFERROR(__xludf.dummyfunction("""COMPUTED_VALUE"""),44363)</f>
        <v>44363</v>
      </c>
      <c r="C20" s="0" t="n">
        <f aca="false">IFERROR(__xludf.dummyfunction("""COMPUTED_VALUE"""),2)</f>
        <v>2</v>
      </c>
      <c r="D20" s="0" t="str">
        <f aca="false">IFERROR(__xludf.dummyfunction("""COMPUTED_VALUE"""),"AICI201908-3-1| Ajustar los indicadores de la politica 3 ""Nivel de satisfaccion"" (31/01/2020 - 29/02/2020)")</f>
        <v>AICI201908-3-1| Ajustar los indicadores de la politica 3 "Nivel de satisfaccion" (31/01/2020 - 29/02/2020)</v>
      </c>
      <c r="E20" s="0" t="str">
        <f aca="false">IFERROR(__xludf.dummyfunction("""COMPUTED_VALUE"""),"Acción terminada en el seguimiento anterior")</f>
        <v>Acción terminada en el seguimiento anterior</v>
      </c>
      <c r="F20" s="0" t="str">
        <f aca="false">IFERROR(__xludf.dummyfunction("""COMPUTED_VALUE"""),"Completo")</f>
        <v>Completo</v>
      </c>
    </row>
    <row r="21" customFormat="false" ht="14.25" hidden="false" customHeight="false" outlineLevel="0" collapsed="false">
      <c r="A21" s="18" t="str">
        <f aca="false">IFERROR(MID(D21,1,FIND("|",D21)-1)&amp;"-"&amp;C21,"")</f>
        <v>AICI201908-5-1-2</v>
      </c>
      <c r="B21" s="19" t="n">
        <f aca="false">IFERROR(__xludf.dummyfunction("""COMPUTED_VALUE"""),44363)</f>
        <v>44363</v>
      </c>
      <c r="C21" s="0" t="n">
        <f aca="false">IFERROR(__xludf.dummyfunction("""COMPUTED_VALUE"""),2)</f>
        <v>2</v>
      </c>
      <c r="D21" s="0" t="str">
        <f aca="false">IFERROR(__xludf.dummyfunction("""COMPUTED_VALUE"""),"AICI201908-5-1| Ajustar la matriz de riesgos de acuerdo con la nueva metodologia para el año 2020. (02/01/2020 - 31/01/2020)")</f>
        <v>AICI201908-5-1| Ajustar la matriz de riesgos de acuerdo con la nueva metodologia para el año 2020. (02/01/2020 - 31/01/2020)</v>
      </c>
      <c r="E21" s="0" t="str">
        <f aca="false">IFERROR(__xludf.dummyfunction("""COMPUTED_VALUE"""),"Acción terminada en el seguimiento anterior")</f>
        <v>Acción terminada en el seguimiento anterior</v>
      </c>
      <c r="F21" s="0" t="str">
        <f aca="false">IFERROR(__xludf.dummyfunction("""COMPUTED_VALUE"""),"Completo")</f>
        <v>Completo</v>
      </c>
    </row>
    <row r="22" customFormat="false" ht="14.25" hidden="false" customHeight="false" outlineLevel="0" collapsed="false">
      <c r="A22" s="18" t="str">
        <f aca="false">IFERROR(MID(D22,1,FIND("|",D22)-1)&amp;"-"&amp;C22,"")</f>
        <v>AICI201908-6-1-2</v>
      </c>
      <c r="B22" s="19" t="n">
        <f aca="false">IFERROR(__xludf.dummyfunction("""COMPUTED_VALUE"""),44363)</f>
        <v>44363</v>
      </c>
      <c r="C22" s="0" t="n">
        <f aca="false">IFERROR(__xludf.dummyfunction("""COMPUTED_VALUE"""),2)</f>
        <v>2</v>
      </c>
      <c r="D22" s="0" t="str">
        <f aca="false">IFERROR(__xludf.dummyfunction("""COMPUTED_VALUE"""),"AICI201908-6-1| Realizar la parametrización correspondiente para ajustar la tipología documental definida en la ley en el Software version 3.7. (16/12/2019 - 31/01/2020)")</f>
        <v>AICI201908-6-1| Realizar la parametrización correspondiente para ajustar la tipología documental definida en la ley en el Software version 3.7. (16/12/2019 - 31/01/2020)</v>
      </c>
      <c r="E22" s="0" t="str">
        <f aca="false">IFERROR(__xludf.dummyfunction("""COMPUTED_VALUE"""),"Acción terminada en el seguimiento anterior")</f>
        <v>Acción terminada en el seguimiento anterior</v>
      </c>
      <c r="F22" s="0" t="str">
        <f aca="false">IFERROR(__xludf.dummyfunction("""COMPUTED_VALUE"""),"Completo")</f>
        <v>Completo</v>
      </c>
    </row>
    <row r="23" customFormat="false" ht="14.25" hidden="false" customHeight="false" outlineLevel="0" collapsed="false">
      <c r="A23" s="18" t="str">
        <f aca="false">IFERROR(MID(D23,1,FIND("|",D23)-1)&amp;"-"&amp;C23,"")</f>
        <v>AICI201908-7-1-2</v>
      </c>
      <c r="B23" s="19" t="n">
        <f aca="false">IFERROR(__xludf.dummyfunction("""COMPUTED_VALUE"""),44363)</f>
        <v>44363</v>
      </c>
      <c r="C23" s="0" t="n">
        <f aca="false">IFERROR(__xludf.dummyfunction("""COMPUTED_VALUE"""),2)</f>
        <v>2</v>
      </c>
      <c r="D23" s="0" t="str">
        <f aca="false">IFERROR(__xludf.dummyfunction("""COMPUTED_VALUE"""),"AICI201908-7-1| Ajustar el procedimiento de Gestion Documental. (29/02/2020 - 31/03/2020)")</f>
        <v>AICI201908-7-1| Ajustar el procedimiento de Gestion Documental. (29/02/2020 - 31/03/2020)</v>
      </c>
      <c r="E23" s="0" t="str">
        <f aca="false">IFERROR(__xludf.dummyfunction("""COMPUTED_VALUE"""),"Acción terminada en el seguimiento anterior")</f>
        <v>Acción terminada en el seguimiento anterior</v>
      </c>
      <c r="F23" s="0" t="str">
        <f aca="false">IFERROR(__xludf.dummyfunction("""COMPUTED_VALUE"""),"Completo")</f>
        <v>Completo</v>
      </c>
    </row>
    <row r="24" customFormat="false" ht="14.25" hidden="false" customHeight="false" outlineLevel="0" collapsed="false">
      <c r="A24" s="18" t="str">
        <f aca="false">IFERROR(MID(D24,1,FIND("|",D24)-1)&amp;"-"&amp;C24,"")</f>
        <v>AICI201908-8-1-2</v>
      </c>
      <c r="B24" s="19" t="n">
        <f aca="false">IFERROR(__xludf.dummyfunction("""COMPUTED_VALUE"""),44363)</f>
        <v>44363</v>
      </c>
      <c r="C24" s="0" t="n">
        <f aca="false">IFERROR(__xludf.dummyfunction("""COMPUTED_VALUE"""),2)</f>
        <v>2</v>
      </c>
      <c r="D24" s="0" t="str">
        <f aca="false">IFERROR(__xludf.dummyfunction("""COMPUTED_VALUE"""),"AICI201908-8-1| Solicitar la caracterización del tramite en SUIT de acuerdo con el manual de historias clinicas. (02/01/2020 - 29/02/2020)")</f>
        <v>AICI201908-8-1| Solicitar la caracterización del tramite en SUIT de acuerdo con el manual de historias clinicas. (02/01/2020 - 29/02/2020)</v>
      </c>
      <c r="E24" s="0" t="str">
        <f aca="false">IFERROR(__xludf.dummyfunction("""COMPUTED_VALUE"""),"Acción terminada en el seguimiento anterior")</f>
        <v>Acción terminada en el seguimiento anterior</v>
      </c>
      <c r="F24" s="0" t="str">
        <f aca="false">IFERROR(__xludf.dummyfunction("""COMPUTED_VALUE"""),"Completo")</f>
        <v>Completo</v>
      </c>
    </row>
    <row r="25" customFormat="false" ht="14.25" hidden="false" customHeight="false" outlineLevel="0" collapsed="false">
      <c r="A25" s="18" t="str">
        <f aca="false">IFERROR(MID(D25,1,FIND("|",D25)-1)&amp;"-"&amp;C25,"")</f>
        <v>AICI201908-10-1-2</v>
      </c>
      <c r="B25" s="19" t="n">
        <f aca="false">IFERROR(__xludf.dummyfunction("""COMPUTED_VALUE"""),44363)</f>
        <v>44363</v>
      </c>
      <c r="C25" s="0" t="n">
        <f aca="false">IFERROR(__xludf.dummyfunction("""COMPUTED_VALUE"""),2)</f>
        <v>2</v>
      </c>
      <c r="D25" s="0" t="str">
        <f aca="false">IFERROR(__xludf.dummyfunction("""COMPUTED_VALUE"""),"AICI201908-10-1| Realizar cierre de este contrato con los ajustes al sistema de acuerdo a lo contratado. (02/01/2020 - 31/01/2020)")</f>
        <v>AICI201908-10-1| Realizar cierre de este contrato con los ajustes al sistema de acuerdo a lo contratado. (02/01/2020 - 31/01/2020)</v>
      </c>
      <c r="E25" s="0" t="str">
        <f aca="false">IFERROR(__xludf.dummyfunction("""COMPUTED_VALUE"""),"Acción terminada en el seguimiento anterior")</f>
        <v>Acción terminada en el seguimiento anterior</v>
      </c>
      <c r="F25" s="0" t="str">
        <f aca="false">IFERROR(__xludf.dummyfunction("""COMPUTED_VALUE"""),"Completo")</f>
        <v>Completo</v>
      </c>
    </row>
    <row r="26" customFormat="false" ht="14.25" hidden="false" customHeight="false" outlineLevel="0" collapsed="false">
      <c r="A26" s="18" t="str">
        <f aca="false">IFERROR(MID(D26,1,FIND("|",D26)-1)&amp;"-"&amp;C26,"")</f>
        <v>AICI201908-2-1-2</v>
      </c>
      <c r="B26" s="19" t="n">
        <f aca="false">IFERROR(__xludf.dummyfunction("""COMPUTED_VALUE"""),44370)</f>
        <v>44370</v>
      </c>
      <c r="C26" s="0" t="n">
        <f aca="false">IFERROR(__xludf.dummyfunction("""COMPUTED_VALUE"""),2)</f>
        <v>2</v>
      </c>
      <c r="D26" s="0" t="str">
        <f aca="false">IFERROR(__xludf.dummyfunction("""COMPUTED_VALUE"""),"AICI201908-2-1| Intervenir el Fondo documental administrativo acumulado del Hospital Engativa según TVD (02/05/2019 - 30/12/2020)")</f>
        <v>AICI201908-2-1| Intervenir el Fondo documental administrativo acumulado del Hospital Engativa según TVD (02/05/2019 - 30/12/2020)</v>
      </c>
      <c r="E26" s="0" t="str">
        <f aca="false">IFERROR(__xludf.dummyfunction("""COMPUTED_VALUE"""),"Se termino el inventario, se hizo contratación de los profesionales para la intervención del mismo. Se reprogramo en el PINAR para el 2021 - 2024")</f>
        <v>Se termino el inventario, se hizo contratación de los profesionales para la intervención del mismo. Se reprogramo en el PINAR para el 2021 - 2024</v>
      </c>
      <c r="F26" s="0" t="str">
        <f aca="false">IFERROR(__xludf.dummyfunction("""COMPUTED_VALUE"""),"Completo")</f>
        <v>Completo</v>
      </c>
      <c r="G26" s="20" t="str">
        <f aca="false">IFERROR(__xludf.dummyfunction("""COMPUTED_VALUE"""),"https://drive.google.com/open?id=1eBW5PgENUzkMsyMqAyaSfUIbtGNZ8QLu")</f>
        <v>https://drive.google.com/open?id=1eBW5PgENUzkMsyMqAyaSfUIbtGNZ8QLu</v>
      </c>
    </row>
    <row r="27" customFormat="false" ht="14.25" hidden="false" customHeight="false" outlineLevel="0" collapsed="false">
      <c r="A27" s="18" t="str">
        <f aca="false">IFERROR(MID(D27,1,FIND("|",D27)-1)&amp;"-"&amp;C27,"")</f>
        <v>AICI201908-4-1-2</v>
      </c>
      <c r="B27" s="19" t="n">
        <f aca="false">IFERROR(__xludf.dummyfunction("""COMPUTED_VALUE"""),44370)</f>
        <v>44370</v>
      </c>
      <c r="C27" s="0" t="n">
        <f aca="false">IFERROR(__xludf.dummyfunction("""COMPUTED_VALUE"""),2)</f>
        <v>2</v>
      </c>
      <c r="D27" s="0" t="str">
        <f aca="false">IFERROR(__xludf.dummyfunction("""COMPUTED_VALUE"""),"AICI201908-4-1| Realizar una evaluación del estado del plan de mejora de Archivo Distrital y dar continuidad al desarrollo de las actividades planteadas para la Subred. (02/01/2020 - 31/12/2020)")</f>
        <v>AICI201908-4-1| Realizar una evaluación del estado del plan de mejora de Archivo Distrital y dar continuidad al desarrollo de las actividades planteadas para la Subred. (02/01/2020 - 31/12/2020)</v>
      </c>
      <c r="E27" s="0" t="str">
        <f aca="false">IFERROR(__xludf.dummyfunction("""COMPUTED_VALUE"""),"Se evidencia seguimiento al plan de mejora del archivo Distrital vigencia 2019 con replanteamiento de actividades en la actualización del PINAR")</f>
        <v>Se evidencia seguimiento al plan de mejora del archivo Distrital vigencia 2019 con replanteamiento de actividades en la actualización del PINAR</v>
      </c>
      <c r="F27" s="0" t="str">
        <f aca="false">IFERROR(__xludf.dummyfunction("""COMPUTED_VALUE"""),"Completo")</f>
        <v>Completo</v>
      </c>
    </row>
    <row r="28" customFormat="false" ht="14.25" hidden="false" customHeight="false" outlineLevel="0" collapsed="false">
      <c r="A28" s="18" t="str">
        <f aca="false">IFERROR(MID(D28,1,FIND("|",D28)-1)&amp;"-"&amp;C28,"")</f>
        <v>AICI201908-7-2-2</v>
      </c>
      <c r="B28" s="19" t="n">
        <f aca="false">IFERROR(__xludf.dummyfunction("""COMPUTED_VALUE"""),44370)</f>
        <v>44370</v>
      </c>
      <c r="C28" s="0" t="n">
        <f aca="false">IFERROR(__xludf.dummyfunction("""COMPUTED_VALUE"""),2)</f>
        <v>2</v>
      </c>
      <c r="D28" s="0" t="str">
        <f aca="false">IFERROR(__xludf.dummyfunction("""COMPUTED_VALUE"""),"AICI201908-7-2| Realizar dos seguimientos en las fechas planteadas al procedimiento de gestion documental en el mes de mayo y octubre. (29/02/2020 - 31/03/2020)")</f>
        <v>AICI201908-7-2| Realizar dos seguimientos en las fechas planteadas al procedimiento de gestion documental en el mes de mayo y octubre. (29/02/2020 - 31/03/2020)</v>
      </c>
      <c r="E28" s="0" t="str">
        <f aca="false">IFERROR(__xludf.dummyfunction("""COMPUTED_VALUE"""),"En la modificación del procedimiento de gestión documental la información solicitada se digitaliza y se envía la destinatario, por lo tanto no es necesario hacer seguimiento a los prestamos de gestión documental. se adjunta procedimiento")</f>
        <v>En la modificación del procedimiento de gestión documental la información solicitada se digitaliza y se envía la destinatario, por lo tanto no es necesario hacer seguimiento a los prestamos de gestión documental. se adjunta procedimiento</v>
      </c>
      <c r="F28" s="0" t="str">
        <f aca="false">IFERROR(__xludf.dummyfunction("""COMPUTED_VALUE"""),"Completo")</f>
        <v>Completo</v>
      </c>
      <c r="G28" s="20" t="str">
        <f aca="false">IFERROR(__xludf.dummyfunction("""COMPUTED_VALUE"""),"https://drive.google.com/open?id=1GadbNpzserDZaTqY3pG5QB-S6vs1u5zz")</f>
        <v>https://drive.google.com/open?id=1GadbNpzserDZaTqY3pG5QB-S6vs1u5zz</v>
      </c>
    </row>
    <row r="29" customFormat="false" ht="14.25" hidden="false" customHeight="false" outlineLevel="0" collapsed="false">
      <c r="A29" s="18" t="str">
        <f aca="false">IFERROR(MID(D29,1,FIND("|",D29)-1)&amp;"-"&amp;C29,"")</f>
        <v>AICI201908-11-1-2</v>
      </c>
      <c r="B29" s="19" t="n">
        <f aca="false">IFERROR(__xludf.dummyfunction("""COMPUTED_VALUE"""),44370)</f>
        <v>44370</v>
      </c>
      <c r="C29" s="0" t="n">
        <f aca="false">IFERROR(__xludf.dummyfunction("""COMPUTED_VALUE"""),2)</f>
        <v>2</v>
      </c>
      <c r="D29" s="0" t="str">
        <f aca="false">IFERROR(__xludf.dummyfunction("""COMPUTED_VALUE"""),"AICI201908-11-1| Elaborar el plan de contingencia para el software de gestion Documental ORFEO. (01/04/2020 - 30/04/2020)")</f>
        <v>AICI201908-11-1| Elaborar el plan de contingencia para el software de gestion Documental ORFEO. (01/04/2020 - 30/04/2020)</v>
      </c>
      <c r="E29" s="0" t="str">
        <f aca="false">IFERROR(__xludf.dummyfunction("""COMPUTED_VALUE"""),"Elaborado y aprobado no por comité de Gestión y Desempeño")</f>
        <v>Elaborado y aprobado no por comité de Gestión y Desempeño</v>
      </c>
      <c r="F29" s="0" t="str">
        <f aca="false">IFERROR(__xludf.dummyfunction("""COMPUTED_VALUE"""),"Completo")</f>
        <v>Completo</v>
      </c>
      <c r="G29" s="20" t="str">
        <f aca="false">IFERROR(__xludf.dummyfunction("""COMPUTED_VALUE"""),"https://drive.google.com/open?id=1ho_cIptQ5DLc08w-RV58J-wUwaNAflMH")</f>
        <v>https://drive.google.com/open?id=1ho_cIptQ5DLc08w-RV58J-wUwaNAflMH</v>
      </c>
    </row>
    <row r="30" customFormat="false" ht="14.25" hidden="false" customHeight="false" outlineLevel="0" collapsed="false">
      <c r="A30" s="18" t="str">
        <f aca="false">IFERROR(MID(D30,1,FIND("|",D30)-1)&amp;"-"&amp;C30,"")</f>
        <v>AICI201908-11-2-2</v>
      </c>
      <c r="B30" s="19" t="n">
        <f aca="false">IFERROR(__xludf.dummyfunction("""COMPUTED_VALUE"""),44370)</f>
        <v>44370</v>
      </c>
      <c r="C30" s="0" t="n">
        <f aca="false">IFERROR(__xludf.dummyfunction("""COMPUTED_VALUE"""),2)</f>
        <v>2</v>
      </c>
      <c r="D30" s="0" t="str">
        <f aca="false">IFERROR(__xludf.dummyfunction("""COMPUTED_VALUE"""),"AICI201908-11-2| Aprobar el plan de contingencia en el comité de gestion y desempeño. (01/06/2020 - 30/06/2020)")</f>
        <v>AICI201908-11-2| Aprobar el plan de contingencia en el comité de gestion y desempeño. (01/06/2020 - 30/06/2020)</v>
      </c>
      <c r="E30" s="0" t="str">
        <f aca="false">IFERROR(__xludf.dummyfunction("""COMPUTED_VALUE"""),"El documento se encuentra normalizado")</f>
        <v>El documento se encuentra normalizado</v>
      </c>
      <c r="F30" s="0" t="str">
        <f aca="false">IFERROR(__xludf.dummyfunction("""COMPUTED_VALUE"""),"Completo")</f>
        <v>Completo</v>
      </c>
    </row>
    <row r="31" customFormat="false" ht="14.25" hidden="false" customHeight="false" outlineLevel="0" collapsed="false">
      <c r="A31" s="18" t="str">
        <f aca="false">IFERROR(MID(D31,1,FIND("|",D31)-1)&amp;"-"&amp;C31,"")</f>
        <v>AICI201908-12-1-2</v>
      </c>
      <c r="B31" s="19" t="n">
        <f aca="false">IFERROR(__xludf.dummyfunction("""COMPUTED_VALUE"""),44370)</f>
        <v>44370</v>
      </c>
      <c r="C31" s="0" t="n">
        <f aca="false">IFERROR(__xludf.dummyfunction("""COMPUTED_VALUE"""),2)</f>
        <v>2</v>
      </c>
      <c r="D31" s="0" t="str">
        <f aca="false">IFERROR(__xludf.dummyfunction("""COMPUTED_VALUE"""),"AICI201908-12-1| Actualizar los activos de informacion de la subred una vez se hayan identificado los tipos documentales que den lugar a lo mismo (03/08/2020 - 30/09/2020)")</f>
        <v>AICI201908-12-1| Actualizar los activos de informacion de la subred una vez se hayan identificado los tipos documentales que den lugar a lo mismo (03/08/2020 - 30/09/2020)</v>
      </c>
      <c r="E31" s="0" t="str">
        <f aca="false">IFERROR(__xludf.dummyfunction("""COMPUTED_VALUE"""),"La actualización de activos de información es una actividad permanente en el tiempo no obstante se actualizado el formato de caracterización de activos de información de acuerdo con los instrumentos de la ley 1712 de 2014")</f>
        <v>La actualización de activos de información es una actividad permanente en el tiempo no obstante se actualizado el formato de caracterización de activos de información de acuerdo con los instrumentos de la ley 1712 de 2014</v>
      </c>
      <c r="F31" s="0" t="str">
        <f aca="false">IFERROR(__xludf.dummyfunction("""COMPUTED_VALUE"""),"Completo")</f>
        <v>Completo</v>
      </c>
    </row>
    <row r="32" customFormat="false" ht="14.25" hidden="false" customHeight="false" outlineLevel="0" collapsed="false">
      <c r="A32" s="18" t="str">
        <f aca="false">IFERROR(MID(D32,1,FIND("|",D32)-1)&amp;"-"&amp;C32,"")</f>
        <v>AICI201908-13-1-2</v>
      </c>
      <c r="B32" s="19" t="n">
        <f aca="false">IFERROR(__xludf.dummyfunction("""COMPUTED_VALUE"""),44370)</f>
        <v>44370</v>
      </c>
      <c r="C32" s="0" t="n">
        <f aca="false">IFERROR(__xludf.dummyfunction("""COMPUTED_VALUE"""),2)</f>
        <v>2</v>
      </c>
      <c r="D32" s="0" t="str">
        <f aca="false">IFERROR(__xludf.dummyfunction("""COMPUTED_VALUE"""),"AICI201908-13-1| Solicitar la revision de la Tabla de control de accesos al area deJuridica (01/07/2020 - 31/08/2020)")</f>
        <v>AICI201908-13-1| Solicitar la revision de la Tabla de control de accesos al area deJuridica (01/07/2020 - 31/08/2020)</v>
      </c>
      <c r="E32" s="0" t="str">
        <f aca="false">IFERROR(__xludf.dummyfunction("""COMPUTED_VALUE"""),"Se realizo la actividad de la Tabla de control de acceso se adjunta el acta correspondiente ")</f>
        <v>Se realizo la actividad de la Tabla de control de acceso se adjunta el acta correspondiente </v>
      </c>
      <c r="F32" s="0" t="str">
        <f aca="false">IFERROR(__xludf.dummyfunction("""COMPUTED_VALUE"""),"Completo")</f>
        <v>Completo</v>
      </c>
      <c r="G32" s="20" t="str">
        <f aca="false">IFERROR(__xludf.dummyfunction("""COMPUTED_VALUE"""),"https://drive.google.com/open?id=18nEh7vTY7rie-HpRudBTgWrmMxWUEd93")</f>
        <v>https://drive.google.com/open?id=18nEh7vTY7rie-HpRudBTgWrmMxWUEd93</v>
      </c>
    </row>
    <row r="33" customFormat="false" ht="14.25" hidden="false" customHeight="false" outlineLevel="0" collapsed="false">
      <c r="A33" s="18" t="str">
        <f aca="false">IFERROR(MID(D33,1,FIND("|",D33)-1)&amp;"-"&amp;C33,"")</f>
        <v>AICI201908-14-1-2</v>
      </c>
      <c r="B33" s="19" t="n">
        <f aca="false">IFERROR(__xludf.dummyfunction("""COMPUTED_VALUE"""),44370)</f>
        <v>44370</v>
      </c>
      <c r="C33" s="0" t="n">
        <f aca="false">IFERROR(__xludf.dummyfunction("""COMPUTED_VALUE"""),2)</f>
        <v>2</v>
      </c>
      <c r="D33" s="0" t="str">
        <f aca="false">IFERROR(__xludf.dummyfunction("""COMPUTED_VALUE"""),"AICI201908-14-1| Realizar ajusteal indice informacion claisificada y reservada (01/09/2020 - 30/09/2020)")</f>
        <v>AICI201908-14-1| Realizar ajusteal indice informacion claisificada y reservada (01/09/2020 - 30/09/2020)</v>
      </c>
      <c r="E33" s="0" t="str">
        <f aca="false">IFERROR(__xludf.dummyfunction("""COMPUTED_VALUE"""),"Se realizo el ajuste al indice de información clasificada y reservada en febrero de 2021 se adjunta el documento")</f>
        <v>Se realizo el ajuste al indice de información clasificada y reservada en febrero de 2021 se adjunta el documento</v>
      </c>
      <c r="F33" s="0" t="str">
        <f aca="false">IFERROR(__xludf.dummyfunction("""COMPUTED_VALUE"""),"Completo")</f>
        <v>Completo</v>
      </c>
      <c r="G33" s="20" t="str">
        <f aca="false">IFERROR(__xludf.dummyfunction("""COMPUTED_VALUE"""),"https://drive.google.com/open?id=1fi9PaUiUGaXb5Vm9-TwGxZnKuw2NrQLz")</f>
        <v>https://drive.google.com/open?id=1fi9PaUiUGaXb5Vm9-TwGxZnKuw2NrQLz</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row r="1000" customFormat="false" ht="14.25" hidden="false" customHeight="false" outlineLevel="0" collapsed="false">
      <c r="A1000" s="18" t="str">
        <f aca="false">IFERROR(MID(D1000,1,FIND("|",D1000)-1)&amp;"-"&amp;C1000,"")</f>
        <v/>
      </c>
    </row>
  </sheetData>
  <hyperlinks>
    <hyperlink ref="G5" r:id="rId1" display="https://drive.google.com/open?id=1vfA-5HM4Cf0CLogrJ3HyPplQlp8iTMcP"/>
    <hyperlink ref="G6" r:id="rId2" display="https://drive.google.com/open?id=1QRPPS2lMc-EephIXJN5b_faI5-ATgrGF"/>
    <hyperlink ref="G7" r:id="rId3" display="https://drive.google.com/open?id=1k9N2IqyNCPDae6tWnz4uTSdFTtiF5lPd"/>
    <hyperlink ref="G8" r:id="rId4" display="https://drive.google.com/open?id=1ePh7KI0XSHpRY1W1IEON0wOTV36CIiGZ"/>
    <hyperlink ref="G9" r:id="rId5" display="https://drive.google.com/open?id=1rnZQcXEMC77AFArQ2o8mth_BjSU-DEfB"/>
    <hyperlink ref="G26" r:id="rId6" display="https://drive.google.com/open?id=1eBW5PgENUzkMsyMqAyaSfUIbtGNZ8QLu"/>
    <hyperlink ref="G28" r:id="rId7" display="https://drive.google.com/open?id=1GadbNpzserDZaTqY3pG5QB-S6vs1u5zz"/>
    <hyperlink ref="G29" r:id="rId8" display="https://drive.google.com/open?id=1ho_cIptQ5DLc08w-RV58J-wUwaNAflMH"/>
    <hyperlink ref="G32" r:id="rId9" display="https://drive.google.com/open?id=18nEh7vTY7rie-HpRudBTgWrmMxWUEd93"/>
    <hyperlink ref="G33" r:id="rId10" display="https://drive.google.com/open?id=1fi9PaUiUGaXb5Vm9-TwGxZnKuw2NrQLz"/>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9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21.43"/>
  </cols>
  <sheetData>
    <row r="1" customFormat="false" ht="12.75" hidden="false" customHeight="false" outlineLevel="0" collapsed="false">
      <c r="A1" s="13" t="s">
        <v>1829</v>
      </c>
      <c r="B1" s="13" t="s">
        <v>1830</v>
      </c>
      <c r="C1" s="13" t="s">
        <v>1831</v>
      </c>
      <c r="D1" s="13" t="s">
        <v>1832</v>
      </c>
      <c r="E1" s="13" t="s">
        <v>1833</v>
      </c>
      <c r="F1" s="13" t="s">
        <v>1834</v>
      </c>
      <c r="G1" s="13" t="s">
        <v>1835</v>
      </c>
    </row>
    <row r="2" customFormat="false" ht="9.75" hidden="false" customHeight="true" outlineLevel="0" collapsed="false">
      <c r="A2" s="17"/>
      <c r="B2" s="17"/>
      <c r="C2" s="17"/>
      <c r="D2" s="17"/>
      <c r="E2" s="17"/>
      <c r="F2" s="17"/>
      <c r="G2" s="17"/>
    </row>
    <row r="3" customFormat="false" ht="12.75" hidden="false" customHeight="false" outlineLevel="0" collapsed="false">
      <c r="A3" s="13" t="s">
        <v>1836</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AICI201901-1-1-1</v>
      </c>
      <c r="B4" s="19" t="n">
        <f aca="false">IFERROR(__xludf.dummyfunction("""COMPUTED_VALUE"""),43740)</f>
        <v>43740</v>
      </c>
      <c r="C4" s="0" t="n">
        <f aca="false">IFERROR(__xludf.dummyfunction("""COMPUTED_VALUE"""),1)</f>
        <v>1</v>
      </c>
      <c r="D4" s="0" t="str">
        <f aca="false">IFERROR(__xludf.dummyfunction("""COMPUTED_VALUE"""),"AICI201901-1-1| Medir de forma mensual la oportunidad de revaloracion de los pacientes de urgencias para alcanzar una meta de tiempo menor o igual a 6 hrs para la definicion de conducta por medicina general (paso a especialidad o egreso) - (15/05/2019 - 3"&amp;"1/12/2019)")</f>
        <v>AICI201901-1-1| Medir de forma mensual la oportunidad de revaloracion de los pacientes de urgencias para alcanzar una meta de tiempo menor o igual a 6 hrs para la definicion de conducta por medicina general (paso a especialidad o egreso) - (15/05/2019 - 31/12/2019)</v>
      </c>
      <c r="E4" s="0" t="str">
        <f aca="false">IFERROR(__xludf.dummyfunction("""COMPUTED_VALUE"""),"Se evidencia acta de reunión con el área de Desarrollo Institucional con fecha 23 de septiembre con el fin de que mensualmente se envíe a la Dirección de urgencias una base que contiene los tiempos  entre la primera consulta y la consulta para definir con"&amp;"ducta o revaloración del paciente, esto con el objetivo de monitorear los tiempos de revaloración y generar acciones de mejora.  se solicita trabajar ficha técnica donde se especifique , exactamente lo que se va a medir. ")</f>
        <v>Se evidencia acta de reunión con el área de Desarrollo Institucional con fecha 23 de septiembre con el fin de que mensualmente se envíe a la Dirección de urgencias una base que contiene los tiempos  entre la primera consulta y la consulta para definir conducta o revaloración del paciente, esto con el objetivo de monitorear los tiempos de revaloración y generar acciones de mejora.  se solicita trabajar ficha técnica donde se especifique , exactamente lo que se va a medir. </v>
      </c>
      <c r="F4" s="0" t="str">
        <f aca="false">IFERROR(__xludf.dummyfunction("""COMPUTED_VALUE"""),"En desarrollo")</f>
        <v>En desarrollo</v>
      </c>
      <c r="G4" s="20" t="str">
        <f aca="false">IFERROR(__xludf.dummyfunction("""COMPUTED_VALUE"""),"https://drive.google.com/open?id=1SRkUCmONm-g-r4iwZjZq7tf7jrb7NSQv")</f>
        <v>https://drive.google.com/open?id=1SRkUCmONm-g-r4iwZjZq7tf7jrb7NSQv</v>
      </c>
    </row>
    <row r="5" customFormat="false" ht="14.25" hidden="false" customHeight="false" outlineLevel="0" collapsed="false">
      <c r="A5" s="18" t="str">
        <f aca="false">IFERROR(MID(D5,1,FIND("|",D5)-1)&amp;"-"&amp;C5,"")</f>
        <v>AICI201901-1-2-1</v>
      </c>
      <c r="B5" s="19" t="n">
        <f aca="false">IFERROR(__xludf.dummyfunction("""COMPUTED_VALUE"""),43740)</f>
        <v>43740</v>
      </c>
      <c r="C5" s="0" t="n">
        <f aca="false">IFERROR(__xludf.dummyfunction("""COMPUTED_VALUE"""),1)</f>
        <v>1</v>
      </c>
      <c r="D5" s="0" t="str">
        <f aca="false">IFERROR(__xludf.dummyfunction("""COMPUTED_VALUE"""),"AICI201901-1-2| Ajustar el horario de una de las auxiliares de enefemeria de urgencias para el area de procedimientos cambiandola del horario normal de 7am a 1pm al horario de 10am a 6 pm de lunes a sabado, como estrategia de apoyo en esta area, para dism"&amp;"inuir la congestion en la iniciacion de pacientes para mejorar la oportunidad en la toma de laboratorios y/o administracion de medicamentos. - (15/06/2019 - 15/07/2019)")</f>
        <v>AICI201901-1-2| Ajustar el horario de una de las auxiliares de enefemeria de urgencias para el area de procedimientos cambiandola del horario normal de 7am a 1pm al horario de 10am a 6 pm de lunes a sabado, como estrategia de apoyo en esta area, para disminuir la congestion en la iniciacion de pacientes para mejorar la oportunidad en la toma de laboratorios y/o administracion de medicamentos. - (15/06/2019 - 15/07/2019)</v>
      </c>
      <c r="E5" s="0" t="str">
        <f aca="false">IFERROR(__xludf.dummyfunction("""COMPUTED_VALUE"""),"se evidencia que se ajustaron turnos de enfermería  para dejar una auxiliar exclusiva para la toma de muestras de laboratorio en las salas de procedimiento de Engativá y Suba a partir de julio y a partir de septiembre en Simón Bolívar.   Está pendiente la"&amp;" entrega de soportes de planillas de turnos donde se evidencie el personal mencionado..  Se anexa soporte acta de programación de turnos de auxiliares indicando personal que realizará toma de muestras")</f>
        <v>se evidencia que se ajustaron turnos de enfermería  para dejar una auxiliar exclusiva para la toma de muestras de laboratorio en las salas de procedimiento de Engativá y Suba a partir de julio y a partir de septiembre en Simón Bolívar.   Está pendiente la entrega de soportes de planillas de turnos donde se evidencie el personal mencionado..  Se anexa soporte acta de programación de turnos de auxiliares indicando personal que realizará toma de muestras</v>
      </c>
      <c r="F5" s="0" t="str">
        <f aca="false">IFERROR(__xludf.dummyfunction("""COMPUTED_VALUE"""),"Completo")</f>
        <v>Completo</v>
      </c>
      <c r="G5" s="0" t="str">
        <f aca="false">IFERROR(__xludf.dummyfunction("""COMPUTED_VALUE"""),"https://drive.google.com/open?id=1cZAMeyNdqaQ-uCRMSD8Y5C5FkOU1affD, https://drive.google.com/open?id=1jrfXQ3WwTan7Khi7klqDADBdwEIOiJ_t, https://drive.google.com/open?id=1eF1IYlUC6n73Wx2Ms9F_RY-gB-tiSsCp")</f>
        <v>https://drive.google.com/open?id=1cZAMeyNdqaQ-uCRMSD8Y5C5FkOU1affD, https://drive.google.com/open?id=1jrfXQ3WwTan7Khi7klqDADBdwEIOiJ_t, https://drive.google.com/open?id=1eF1IYlUC6n73Wx2Ms9F_RY-gB-tiSsCp</v>
      </c>
    </row>
    <row r="6" customFormat="false" ht="14.25" hidden="false" customHeight="false" outlineLevel="0" collapsed="false">
      <c r="A6" s="18" t="str">
        <f aca="false">IFERROR(MID(D6,1,FIND("|",D6)-1)&amp;"-"&amp;C6,"")</f>
        <v>AICI201901-1-3-1</v>
      </c>
      <c r="B6" s="19" t="n">
        <f aca="false">IFERROR(__xludf.dummyfunction("""COMPUTED_VALUE"""),43742)</f>
        <v>43742</v>
      </c>
      <c r="C6" s="0" t="n">
        <f aca="false">IFERROR(__xludf.dummyfunction("""COMPUTED_VALUE"""),1)</f>
        <v>1</v>
      </c>
      <c r="D6" s="0" t="str">
        <f aca="false">IFERROR(__xludf.dummyfunction("""COMPUTED_VALUE"""),"AICI201901-1-3| Estandarizar tiempos de entrega de resultados en laboratorio clinico y para la toma de imagenes diagnosticas, realizar medicion de los mismos e implementar acciones en los momentos en que se presenten desviaciones - (15/05/2019 - 31/12/201"&amp;"9)")</f>
        <v>AICI201901-1-3| Estandarizar tiempos de entrega de resultados en laboratorio clinico y para la toma de imagenes diagnosticas, realizar medicion de los mismos e implementar acciones en los momentos en que se presenten desviaciones - (15/05/2019 - 31/12/2019)</v>
      </c>
      <c r="E6" s="0" t="str">
        <f aca="false">IFERROR(__xludf.dummyfunction("""COMPUTED_VALUE"""),"Se evidencia que la directora de complementarios envío un correo que arroja los valores de las mediciones realizadas, pero no hay ningún soporte técnico que respalde la obtención de dichos valores. estos son:
3.1.1 Laboratorio Clinico
Oportunidad (resulta"&amp;"do) Laboratorio Urgencias – Meta: 44 min
Enero: 45min
Febrero: 44min
Marzo: 44min
Abril: 43min
Mayo: 45min
3.1.2. Imagenes Diganosticas
EL proceso de imagenes diagnosticas dispone de dos formas de realizar este seguimiento:
3.1.2.1. Oportunidad de atenció"&amp;"n de imagenes en urgencias - Meta: &lt; 1 dia
Enero: &lt; 1 dia
Febrero: &lt; 1 dia
Marzo: &lt; 1 dia
Abril: &lt; 1 dia
Mayo: &lt; 1 dia
La atención  de imagenes diagnosticas para urgencias se realiza una vez llega la orden medica y el paciente desde el servicio.
3.1.2.2. "&amp;"Trazabilidad de atención desde la orden – Meta: 2 horas
Enero: 4 horas
Febrero: 2.5 horas
Marzo: 1.9 horas
Abril: 2.5 horas
Mayo:  3.1 horas
Mas del 60% de este al tiempo corresponde al transcurrido desde la emision la orden a la llegada de la orden al se"&amp;"rvicio tiempo que depende del proceso de gestion de enfermeria y camilleros, mas no del servicio de imagenes diagnosticas; el restante corresponde al tiempo de atención una vez ingresa la orden al servicio de imágenes diagnosticas.
Quedan pendientes sopor"&amp;"tes")</f>
        <v>Se evidencia que la directora de complementarios envío un correo que arroja los valores de las mediciones realizadas, pero no hay ningún soporte técnico que respalde la obtención de dichos valores. estos son:
3.1.1 Laboratorio Clinico
Oportunidad (resultado) Laboratorio Urgencias – Meta: 44 min
Enero: 45min
Febrero: 44min
Marzo: 44min
Abril: 43min
Mayo: 45min
3.1.2. Imagenes Diganosticas
EL proceso de imagenes diagnosticas dispone de dos formas de realizar este seguimiento:
3.1.2.1. Oportunidad de atención de imagenes en urgencias - Meta: &lt; 1 dia
Enero: &lt; 1 dia
Febrero: &lt; 1 dia
Marzo: &lt; 1 dia
Abril: &lt; 1 dia
Mayo: &lt; 1 dia
La atención  de imagenes diagnosticas para urgencias se realiza una vez llega la orden medica y el paciente desde el servicio.
3.1.2.2. Trazabilidad de atención desde la orden – Meta: 2 horas
Enero: 4 horas
Febrero: 2.5 horas
Marzo: 1.9 horas
Abril: 2.5 horas
Mayo:  3.1 horas
Mas del 60% de este al tiempo corresponde al transcurrido desde la emision la orden a la llegada de la orden al servicio tiempo que depende del proceso de gestion de enfermeria y camilleros, mas no del servicio de imagenes diagnosticas; el restante corresponde al tiempo de atención una vez ingresa la orden al servicio de imágenes diagnosticas.
Quedan pendientes soportes</v>
      </c>
      <c r="F6" s="0" t="str">
        <f aca="false">IFERROR(__xludf.dummyfunction("""COMPUTED_VALUE"""),"En desarrollo")</f>
        <v>En desarrollo</v>
      </c>
    </row>
    <row r="7" customFormat="false" ht="14.25" hidden="false" customHeight="false" outlineLevel="0" collapsed="false">
      <c r="A7" s="18" t="str">
        <f aca="false">IFERROR(MID(D7,1,FIND("|",D7)-1)&amp;"-"&amp;C7,"")</f>
        <v>AICI201901-1-4-1</v>
      </c>
      <c r="B7" s="19" t="n">
        <f aca="false">IFERROR(__xludf.dummyfunction("""COMPUTED_VALUE"""),43740)</f>
        <v>43740</v>
      </c>
      <c r="C7" s="0" t="n">
        <f aca="false">IFERROR(__xludf.dummyfunction("""COMPUTED_VALUE"""),1)</f>
        <v>1</v>
      </c>
      <c r="D7" s="0" t="str">
        <f aca="false">IFERROR(__xludf.dummyfunction("""COMPUTED_VALUE"""),"AICI201901-1-4| Aumento de las horas definidas para respuesta de interconsultas en urgencias, de los especialistas de psiquiatria y urologia a traves de la consertacion con la Direccion de servicios ambulatorios - (15/06/2019 - 15/07/2019)")</f>
        <v>AICI201901-1-4| Aumento de las horas definidas para respuesta de interconsultas en urgencias, de los especialistas de psiquiatria y urologia a traves de la consertacion con la Direccion de servicios ambulatorios - (15/06/2019 - 15/07/2019)</v>
      </c>
      <c r="E7" s="0" t="str">
        <f aca="false">IFERROR(__xludf.dummyfunction("""COMPUTED_VALUE"""),"Las interconsultas de psiquiatría en la UMHES Calle 80, se le asignó un horario de 7+00 horas a 13+00 horas en la mañana y de las 18+00 horas a las 20+00 horas a la doctora Luz Marina Martínez. En la UMHES CES Suba, se contrató a la doctora Sandra Saavedr"&amp;"a, para respuesta de interconsultas de lunes a viernes de 4 horas.  En cuanto a urología, refiere que el Doctor Karol Sánchez, va a ir los días lunes, con 2 horas para interconsultas, a la UMHES CES Suba, y los días miércoles, se tiene dos horas con los d"&amp;"ocentes de la Universidad Nacional, en la UMHES CES Suba Calle 80; y que se han entregado requerimientos a la Subgerencia de Prestación de Servicios de Salud, y se esta a la espera de la contratación para mejorar la oportunidad de las interconsultas. se e"&amp;"videncia acta de concertación. Se verificará el cumplimiento en los servicios")</f>
        <v>Las interconsultas de psiquiatría en la UMHES Calle 80, se le asignó un horario de 7+00 horas a 13+00 horas en la mañana y de las 18+00 horas a las 20+00 horas a la doctora Luz Marina Martínez. En la UMHES CES Suba, se contrató a la doctora Sandra Saavedra, para respuesta de interconsultas de lunes a viernes de 4 horas.  En cuanto a urología, refiere que el Doctor Karol Sánchez, va a ir los días lunes, con 2 horas para interconsultas, a la UMHES CES Suba, y los días miércoles, se tiene dos horas con los docentes de la Universidad Nacional, en la UMHES CES Suba Calle 80; y que se han entregado requerimientos a la Subgerencia de Prestación de Servicios de Salud, y se esta a la espera de la contratación para mejorar la oportunidad de las interconsultas. se evidencia acta de concertación. Se verificará el cumplimiento en los servicios</v>
      </c>
      <c r="F7" s="0" t="str">
        <f aca="false">IFERROR(__xludf.dummyfunction("""COMPUTED_VALUE"""),"Completo")</f>
        <v>Completo</v>
      </c>
      <c r="G7" s="20" t="str">
        <f aca="false">IFERROR(__xludf.dummyfunction("""COMPUTED_VALUE"""),"https://drive.google.com/open?id=1mgJj7QdFU0Y-oOvTnPUbaqa3hlz1MUst")</f>
        <v>https://drive.google.com/open?id=1mgJj7QdFU0Y-oOvTnPUbaqa3hlz1MUst</v>
      </c>
    </row>
    <row r="8" customFormat="false" ht="14.25" hidden="false" customHeight="false" outlineLevel="0" collapsed="false">
      <c r="A8" s="18" t="str">
        <f aca="false">IFERROR(MID(D8,1,FIND("|",D8)-1)&amp;"-"&amp;C8,"")</f>
        <v>AICI201901-1-5-1</v>
      </c>
      <c r="B8" s="19" t="n">
        <f aca="false">IFERROR(__xludf.dummyfunction("""COMPUTED_VALUE"""),43740)</f>
        <v>43740</v>
      </c>
      <c r="C8" s="0" t="n">
        <f aca="false">IFERROR(__xludf.dummyfunction("""COMPUTED_VALUE"""),1)</f>
        <v>1</v>
      </c>
      <c r="D8" s="0" t="str">
        <f aca="false">IFERROR(__xludf.dummyfunction("""COMPUTED_VALUE"""),"AICI201901-1-5| Contracion de Horas de Neurologia para las UMHES Engativa y CSE Suba. Definiendo la cantidad de horas que se requieren para dar cobertura a la necesidad en las dos UMHES - (15/06/2019 - 15/07/2019)")</f>
        <v>AICI201901-1-5| Contracion de Horas de Neurologia para las UMHES Engativa y CSE Suba. Definiendo la cantidad de horas que se requieren para dar cobertura a la necesidad en las dos UMHES - (15/06/2019 - 15/07/2019)</v>
      </c>
      <c r="E8" s="0" t="str">
        <f aca="false">IFERROR(__xludf.dummyfunction("""COMPUTED_VALUE"""),"En neurología en la UMHES Calle 80, se contrató al Doctor Germán Pérez, quien asiste los días lunes, martes, jueves y viernes de 13+00 horas a las 16+00 horas, en donde contestan las interconsultas generadas en el servicio de urgencias. En la UHMES CES Su"&amp;"ba se cuenta con el Doctor Mario Zabaleta, quien esta contrato en el horario de las 13+00 horas a las 19+00 horas, y responde interconsultas de las 16+00 a las 19+00 horas que se generen en urgencias. Pendiente verificar en los servicios")</f>
        <v>En neurología en la UMHES Calle 80, se contrató al Doctor Germán Pérez, quien asiste los días lunes, martes, jueves y viernes de 13+00 horas a las 16+00 horas, en donde contestan las interconsultas generadas en el servicio de urgencias. En la UHMES CES Suba se cuenta con el Doctor Mario Zabaleta, quien esta contrato en el horario de las 13+00 horas a las 19+00 horas, y responde interconsultas de las 16+00 a las 19+00 horas que se generen en urgencias. Pendiente verificar en los servicios</v>
      </c>
      <c r="F8" s="0" t="str">
        <f aca="false">IFERROR(__xludf.dummyfunction("""COMPUTED_VALUE"""),"Completo")</f>
        <v>Completo</v>
      </c>
      <c r="G8" s="20" t="str">
        <f aca="false">IFERROR(__xludf.dummyfunction("""COMPUTED_VALUE"""),"https://drive.google.com/open?id=1_Wl2TJa3oETdT3uZvRSLAb_0Bn-5ko3x")</f>
        <v>https://drive.google.com/open?id=1_Wl2TJa3oETdT3uZvRSLAb_0Bn-5ko3x</v>
      </c>
    </row>
    <row r="9" customFormat="false" ht="14.25" hidden="false" customHeight="false" outlineLevel="0" collapsed="false">
      <c r="A9" s="18" t="str">
        <f aca="false">IFERROR(MID(D9,1,FIND("|",D9)-1)&amp;"-"&amp;C9,"")</f>
        <v>AICI201901-1-6-1</v>
      </c>
      <c r="B9" s="19" t="n">
        <f aca="false">IFERROR(__xludf.dummyfunction("""COMPUTED_VALUE"""),43742)</f>
        <v>43742</v>
      </c>
      <c r="C9" s="0" t="n">
        <f aca="false">IFERROR(__xludf.dummyfunction("""COMPUTED_VALUE"""),1)</f>
        <v>1</v>
      </c>
      <c r="D9" s="0" t="str">
        <f aca="false">IFERROR(__xludf.dummyfunction("""COMPUTED_VALUE"""),"AICI201901-1-6| Monitorear de forma mensual la oportunidad de traslado a la UMHES Simon Bolivar de los pacientes que requieren valoracion y manejo integral de Neurocirugia, para tomar acciones de mejora ante la meta establecida de menor o igual a 6 horas "&amp;"- (15/05/2019 - 31/12/2019)")</f>
        <v>AICI201901-1-6| Monitorear de forma mensual la oportunidad de traslado a la UMHES Simon Bolivar de los pacientes que requieren valoracion y manejo integral de Neurocirugia, para tomar acciones de mejora ante la meta establecida de menor o igual a 6 horas - (15/05/2019 - 31/12/2019)</v>
      </c>
      <c r="E9" s="0" t="str">
        <f aca="false">IFERROR(__xludf.dummyfunction("""COMPUTED_VALUE"""),"Desde la dirección de urgencias se informa que se realizó reunión con hospitalización para acordar el tema del traslado de los pacientes de neurocirugía.  Se encuentra pendiente el acta de soporte ")</f>
        <v>Desde la dirección de urgencias se informa que se realizó reunión con hospitalización para acordar el tema del traslado de los pacientes de neurocirugía.  Se encuentra pendiente el acta de soporte </v>
      </c>
      <c r="F9" s="0" t="str">
        <f aca="false">IFERROR(__xludf.dummyfunction("""COMPUTED_VALUE"""),"En desarrollo")</f>
        <v>En desarrollo</v>
      </c>
    </row>
    <row r="10" customFormat="false" ht="14.25" hidden="false" customHeight="false" outlineLevel="0" collapsed="false">
      <c r="A10" s="18" t="str">
        <f aca="false">IFERROR(MID(D10,1,FIND("|",D10)-1)&amp;"-"&amp;C10,"")</f>
        <v>AICI201901-2-1-1</v>
      </c>
      <c r="B10" s="19" t="n">
        <f aca="false">IFERROR(__xludf.dummyfunction("""COMPUTED_VALUE"""),43740)</f>
        <v>43740</v>
      </c>
      <c r="C10" s="0" t="n">
        <f aca="false">IFERROR(__xludf.dummyfunction("""COMPUTED_VALUE"""),1)</f>
        <v>1</v>
      </c>
      <c r="D10" s="0" t="str">
        <f aca="false">IFERROR(__xludf.dummyfunction("""COMPUTED_VALUE"""),"AICI201901-2-1| Establecer la realizacion de Rondas Admnistrativo/asistenciales de las Direcciones Hospitalizacion y Urgencias (Incluye Directores, Lideres y Gestores) con el objetivo de identificar pacientes pendientes de programacion quirurgica, valorac"&amp;"ion por especialidades quirugicas y gestionar su programacion - (15/05/2019 - 31/12/2019)")</f>
        <v>AICI201901-2-1| Establecer la realizacion de Rondas Admnistrativo/asistenciales de las Direcciones Hospitalizacion y Urgencias (Incluye Directores, Lideres y Gestores) con el objetivo de identificar pacientes pendientes de programacion quirurgica, valoracion por especialidades quirugicas y gestionar su programacion - (15/05/2019 - 31/12/2019)</v>
      </c>
      <c r="E10" s="0" t="str">
        <f aca="false">IFERROR(__xludf.dummyfunction("""COMPUTED_VALUE"""),"Se acordó la realización de rondas por parte de  los referentes de urgencias, en compañía de los urgenciólogos, y los médicos AMED (atención médica domiciliaria) , quienes  recolectan información contenida en el formato ""Control de estancias mayores a 24"&amp;" horas. MI-GU-F-08-01 de manera diaria de lunes a viernes, desde el mes de mayo. Esta información se envía diariamente a la Dirección de urgencias. Entre los items que se tienen importantes, esta el tiempo de estancia en el DRIVE de la Direccion de urgenc"&amp;"ia , el cual opera como mecanismo de difusión de información a la Dirección de hospitalización, la Subgrencia de Servicios de Salud y la Gerencia. Desde el mes de agosto se cuenta en las 3 UMHES de 7am a 7 pm con urgenciólogo, quienes son los que realizan"&amp;" la revista. 
El Objetivo de tener esta información es visualizar claramente cuales son las causas de estancia prolongada( quirúrgicas, valoración por especialidades, toma de paraclínicos , etc)   de manera que haciendo esta información pública ante el eq"&amp;"uipo de trabajo, se puedan gestionar y priorizar las actividades a realizar, para definir los traslados, programar qx, etc.    esta gestión se soporta con los formatos diligenciados, los correos enviados a hospitalización y el Chat misional. ")</f>
        <v>Se acordó la realización de rondas por parte de  los referentes de urgencias, en compañía de los urgenciólogos, y los médicos AMED (atención médica domiciliaria) , quienes  recolectan información contenida en el formato "Control de estancias mayores a 24 horas. MI-GU-F-08-01 de manera diaria de lunes a viernes, desde el mes de mayo. Esta información se envía diariamente a la Dirección de urgencias. Entre los items que se tienen importantes, esta el tiempo de estancia en el DRIVE de la Direccion de urgencia , el cual opera como mecanismo de difusión de información a la Dirección de hospitalización, la Subgrencia de Servicios de Salud y la Gerencia. Desde el mes de agosto se cuenta en las 3 UMHES de 7am a 7 pm con urgenciólogo, quienes son los que realizan la revista. 
El Objetivo de tener esta información es visualizar claramente cuales son las causas de estancia prolongada( quirúrgicas, valoración por especialidades, toma de paraclínicos , etc)   de manera que haciendo esta información pública ante el equipo de trabajo, se puedan gestionar y priorizar las actividades a realizar, para definir los traslados, programar qx, etc.    esta gestión se soporta con los formatos diligenciados, los correos enviados a hospitalización y el Chat misional. </v>
      </c>
      <c r="F10" s="0" t="str">
        <f aca="false">IFERROR(__xludf.dummyfunction("""COMPUTED_VALUE"""),"En desarrollo")</f>
        <v>En desarrollo</v>
      </c>
      <c r="G10" s="0" t="str">
        <f aca="false">IFERROR(__xludf.dummyfunction("""COMPUTED_VALUE"""),"https://drive.google.com/open?id=1Si1AYIygs_TIz06t-379gO57OyOfDs8Z, https://drive.google.com/open?id=18JVPoLH9qY4ky4O7va6a0Dwj2Pc5LdCH")</f>
        <v>https://drive.google.com/open?id=1Si1AYIygs_TIz06t-379gO57OyOfDs8Z, https://drive.google.com/open?id=18JVPoLH9qY4ky4O7va6a0Dwj2Pc5LdCH</v>
      </c>
    </row>
    <row r="11" customFormat="false" ht="14.25" hidden="false" customHeight="false" outlineLevel="0" collapsed="false">
      <c r="A11" s="18" t="str">
        <f aca="false">IFERROR(MID(D11,1,FIND("|",D11)-1)&amp;"-"&amp;C11,"")</f>
        <v>AICI201901-2-10-1</v>
      </c>
      <c r="B11" s="19" t="n">
        <f aca="false">IFERROR(__xludf.dummyfunction("""COMPUTED_VALUE"""),43742)</f>
        <v>43742</v>
      </c>
      <c r="C11" s="0" t="n">
        <f aca="false">IFERROR(__xludf.dummyfunction("""COMPUTED_VALUE"""),1)</f>
        <v>1</v>
      </c>
      <c r="D11" s="0" t="str">
        <f aca="false">IFERROR(__xludf.dummyfunction("""COMPUTED_VALUE"""),"AICI201901-2-10| Priorizar el traslado de pacientes que requieran procedimientos intermedios entre las diferentes UMHES y CAPS como estrategia para dinamizar su realizacion a traves de el personal que coordina los despachos de las moviles de traslados sec"&amp;"undarios - (15/05/2019 - 31/12/2019)")</f>
        <v>AICI201901-2-10| Priorizar el traslado de pacientes que requieran procedimientos intermedios entre las diferentes UMHES y CAPS como estrategia para dinamizar su realizacion a traves de el personal que coordina los despachos de las moviles de traslados secundarios - (15/05/2019 - 31/12/2019)</v>
      </c>
      <c r="E11" s="0" t="str">
        <f aca="false">IFERROR(__xludf.dummyfunction("""COMPUTED_VALUE"""),"La priorización la está realizando el rferente de Referencia y contrarreferencia , acorde a los criterios médicos.  Pendiente soporte")</f>
        <v>La priorización la está realizando el rferente de Referencia y contrarreferencia , acorde a los criterios médicos.  Pendiente soporte</v>
      </c>
      <c r="F11" s="0" t="str">
        <f aca="false">IFERROR(__xludf.dummyfunction("""COMPUTED_VALUE"""),"En desarrollo")</f>
        <v>En desarrollo</v>
      </c>
    </row>
    <row r="12" customFormat="false" ht="14.25" hidden="false" customHeight="false" outlineLevel="0" collapsed="false">
      <c r="A12" s="18" t="str">
        <f aca="false">IFERROR(MID(D12,1,FIND("|",D12)-1)&amp;"-"&amp;C12,"")</f>
        <v>AICI201901-2-11-1</v>
      </c>
      <c r="B12" s="19" t="n">
        <f aca="false">IFERROR(__xludf.dummyfunction("""COMPUTED_VALUE"""),43740)</f>
        <v>43740</v>
      </c>
      <c r="C12" s="0" t="n">
        <f aca="false">IFERROR(__xludf.dummyfunction("""COMPUTED_VALUE"""),1)</f>
        <v>1</v>
      </c>
      <c r="D12" s="0" t="str">
        <f aca="false">IFERROR(__xludf.dummyfunction("""COMPUTED_VALUE"""),"AICI201901-2-11| Socializar al 100% del personal de enfermeria los intructivos institucionales para la preparacion depacientes prequirugicos, examenes especiales que se tienen establecidos en la Subred Norte. - (15/06/2019 - 31/07/2019)")</f>
        <v>AICI201901-2-11| Socializar al 100% del personal de enfermeria los intructivos institucionales para la preparacion depacientes prequirugicos, examenes especiales que se tienen establecidos en la Subred Norte. - (15/06/2019 - 31/07/2019)</v>
      </c>
      <c r="E12" s="0" t="str">
        <f aca="false">IFERROR(__xludf.dummyfunction("""COMPUTED_VALUE"""),"Se realizó por medio de correo la socialización de los procedimientos de preparación preqx ( Lista de chequeo preparación preparación paciente acto quirúrgico, MI-GH-I-25-01, Instructivo preparación paciente acto quirúrgico, MI-GH-I-25-01.  Instructivo cu"&amp;"idados preparación paciente prequirúrgico MI-GH-I-29-01) ,  en las 4 sedes: Suba, chapinero, eng y Simón.  Se evidencian soportes de envío de correos.  como el personal de enfermería fue recibido por el área en el mes de Julio de 2019, se tiene planeado r"&amp;"ealizar nuevas socializaciones sobre las preparaciones en general. ")</f>
        <v>Se realizó por medio de correo la socialización de los procedimientos de preparación preqx ( Lista de chequeo preparación preparación paciente acto quirúrgico, MI-GH-I-25-01, Instructivo preparación paciente acto quirúrgico, MI-GH-I-25-01.  Instructivo cuidados preparación paciente prequirúrgico MI-GH-I-29-01) ,  en las 4 sedes: Suba, chapinero, eng y Simón.  Se evidencian soportes de envío de correos.  como el personal de enfermería fue recibido por el área en el mes de Julio de 2019, se tiene planeado realizar nuevas socializaciones sobre las preparaciones en general. </v>
      </c>
      <c r="F12" s="0" t="str">
        <f aca="false">IFERROR(__xludf.dummyfunction("""COMPUTED_VALUE"""),"Completo")</f>
        <v>Completo</v>
      </c>
      <c r="G12" s="20" t="str">
        <f aca="false">IFERROR(__xludf.dummyfunction("""COMPUTED_VALUE"""),"https://drive.google.com/open?id=1JQiOEtgk3bjk5ZFy5KHcalK5SqIM02pB")</f>
        <v>https://drive.google.com/open?id=1JQiOEtgk3bjk5ZFy5KHcalK5SqIM02pB</v>
      </c>
    </row>
    <row r="13" customFormat="false" ht="14.25" hidden="false" customHeight="false" outlineLevel="0" collapsed="false">
      <c r="A13" s="18" t="str">
        <f aca="false">IFERROR(MID(D13,1,FIND("|",D13)-1)&amp;"-"&amp;C13,"")</f>
        <v>AICI201901-2-12-1</v>
      </c>
      <c r="B13" s="19" t="n">
        <f aca="false">IFERROR(__xludf.dummyfunction("""COMPUTED_VALUE"""),43740)</f>
        <v>43740</v>
      </c>
      <c r="C13" s="0" t="n">
        <f aca="false">IFERROR(__xludf.dummyfunction("""COMPUTED_VALUE"""),1)</f>
        <v>1</v>
      </c>
      <c r="D13" s="0" t="str">
        <f aca="false">IFERROR(__xludf.dummyfunction("""COMPUTED_VALUE"""),"AICI201901-2-12| Evaluar el conocimiento y aplicación de los intructivos institucionales para la preparacion depacientes prequirugicos, examenes especiales que se tienen establecidos en la Subred Norte. A traves de la realizacion de pre test y postest en "&amp;"el momento de la socializacion - (15/06/2019 - 31/07/2019)")</f>
        <v>AICI201901-2-12| Evaluar el conocimiento y aplicación de los intructivos institucionales para la preparacion depacientes prequirugicos, examenes especiales que se tienen establecidos en la Subred Norte. A traves de la realizacion de pre test y postest en el momento de la socializacion - (15/06/2019 - 31/07/2019)</v>
      </c>
      <c r="E13" s="0" t="str">
        <f aca="false">IFERROR(__xludf.dummyfunction("""COMPUTED_VALUE"""),"Se realizó cuestionario para medir la adherencia Lista de chequeo preparación preparación paciente acto quirúrgico, MI-GH-I-25-01, Instructivo preparación paciente acto quirúrgico, MI-GH-I-25-01.  Instructivo cuidados preparación paciente prequirúrgico MI"&amp;"-GH-I-29-01  y se obtuvo como calificación promedio de pretest en Simón 8.10, Suba 6.49, Calle 80 (dato pendiente)  y Chapinero de 4.91, para un total de  (dato pendiente).   Como la socialización se realizó de manera reciente se está esperando tiempo pru"&amp;"dencial para aplicar el postest. por lo tanto la acción aún se encuentra pendiente de cierre.  Se evidencian soportes de las pruebas aplicadas y se cargan como soporte algunos ejemplos, ya que los archivos pesan mucho. Los originales reposan en la oficina"&amp;" de los referentes de urgencias.")</f>
        <v>Se realizó cuestionario para medir la adherencia Lista de chequeo preparación preparación paciente acto quirúrgico, MI-GH-I-25-01, Instructivo preparación paciente acto quirúrgico, MI-GH-I-25-01.  Instructivo cuidados preparación paciente prequirúrgico MI-GH-I-29-01  y se obtuvo como calificación promedio de pretest en Simón 8.10, Suba 6.49, Calle 80 (dato pendiente)  y Chapinero de 4.91, para un total de  (dato pendiente).   Como la socialización se realizó de manera reciente se está esperando tiempo prudencial para aplicar el postest. por lo tanto la acción aún se encuentra pendiente de cierre.  Se evidencian soportes de las pruebas aplicadas y se cargan como soporte algunos ejemplos, ya que los archivos pesan mucho. Los originales reposan en la oficina de los referentes de urgencias.</v>
      </c>
      <c r="F13" s="0" t="str">
        <f aca="false">IFERROR(__xludf.dummyfunction("""COMPUTED_VALUE"""),"Atrasado")</f>
        <v>Atrasado</v>
      </c>
      <c r="G13" s="0" t="str">
        <f aca="false">IFERROR(__xludf.dummyfunction("""COMPUTED_VALUE"""),"https://drive.google.com/open?id=1_6zbAzeL-zxFhO1cDgsrS0opXzR3avNu, https://drive.google.com/open?id=1WGrZAIe4kZzlz6Q2E2HBqrX_rP4n_dqJ")</f>
        <v>https://drive.google.com/open?id=1_6zbAzeL-zxFhO1cDgsrS0opXzR3avNu, https://drive.google.com/open?id=1WGrZAIe4kZzlz6Q2E2HBqrX_rP4n_dqJ</v>
      </c>
    </row>
    <row r="14" customFormat="false" ht="14.25" hidden="false" customHeight="false" outlineLevel="0" collapsed="false">
      <c r="A14" s="18" t="str">
        <f aca="false">IFERROR(MID(D14,1,FIND("|",D14)-1)&amp;"-"&amp;C14,"")</f>
        <v>AICI201901-2-13-1</v>
      </c>
      <c r="B14" s="19" t="n">
        <f aca="false">IFERROR(__xludf.dummyfunction("""COMPUTED_VALUE"""),43740)</f>
        <v>43740</v>
      </c>
      <c r="C14" s="0" t="n">
        <f aca="false">IFERROR(__xludf.dummyfunction("""COMPUTED_VALUE"""),1)</f>
        <v>1</v>
      </c>
      <c r="D14" s="0" t="str">
        <f aca="false">IFERROR(__xludf.dummyfunction("""COMPUTED_VALUE"""),"AICI201901-2-13| Socializar al 100% de los medicos generales y especialistas de los servicios de urgencias, hospitalizacion y quirurgicos, los criterios de inclusion al programa PAD - (15/05/2019 - 31/07/2019)")</f>
        <v>AICI201901-2-13| Socializar al 100% de los medicos generales y especialistas de los servicios de urgencias, hospitalizacion y quirurgicos, los criterios de inclusion al programa PAD - (15/05/2019 - 31/07/2019)</v>
      </c>
      <c r="E14" s="0" t="str">
        <f aca="false">IFERROR(__xludf.dummyfunction("""COMPUTED_VALUE"""),"Por parate de urgencias se realizó por medio de correo la socialización de los procedimientos MI-SC-I-77-02 Instructivo para accceder al programa de atención domiciliaria, MI-SC-P-03-02 Procedimiento gestión de atención domiciliaria, y la Circular 003 del"&amp;" 4 /02/2019 de Lineamientos del programa de atención domiciliaria.,  en las 4 sedes: Suba, chapinero, eng y Suba.   Se cuenta con los soportes de las socializaciones.
Se encuentran pendientes soportes de socializaciones al personal de hospitalizacion ")</f>
        <v>Por parate de urgencias se realizó por medio de correo la socialización de los procedimientos MI-SC-I-77-02 Instructivo para accceder al programa de atención domiciliaria, MI-SC-P-03-02 Procedimiento gestión de atención domiciliaria, y la Circular 003 del 4 /02/2019 de Lineamientos del programa de atención domiciliaria.,  en las 4 sedes: Suba, chapinero, eng y Suba.   Se cuenta con los soportes de las socializaciones.
Se encuentran pendientes soportes de socializaciones al personal de hospitalizacion </v>
      </c>
      <c r="F14" s="0" t="str">
        <f aca="false">IFERROR(__xludf.dummyfunction("""COMPUTED_VALUE"""),"Atrasado")</f>
        <v>Atrasado</v>
      </c>
      <c r="G14" s="0" t="str">
        <f aca="false">IFERROR(__xludf.dummyfunction("""COMPUTED_VALUE"""),"https://drive.google.com/open?id=1t4lvSsRSjSYEZrQrj2CI1f1bFjMuOUGw, https://drive.google.com/open?id=1pv6fzSlxy3d4BKTb10Eh-9kyvLr9q_7m, https://drive.google.com/open?id=1uUCODPC8f8ZnaJn-iSTNnA3q0G9EGPUU, https://drive.google.com/open?id=15AQ8WXU7PdCQXhcDa"&amp;"H_BtCAC2zEZ3q9x, https://drive.google.com/open?id=1xGKirSHhNT9wduKRrHwzsBAJrXr1UTVp")</f>
        <v>https://drive.google.com/open?id=1t4lvSsRSjSYEZrQrj2CI1f1bFjMuOUGw, https://drive.google.com/open?id=1pv6fzSlxy3d4BKTb10Eh-9kyvLr9q_7m, https://drive.google.com/open?id=1uUCODPC8f8ZnaJn-iSTNnA3q0G9EGPUU, https://drive.google.com/open?id=15AQ8WXU7PdCQXhcDaH_BtCAC2zEZ3q9x, https://drive.google.com/open?id=1xGKirSHhNT9wduKRrHwzsBAJrXr1UTVp</v>
      </c>
    </row>
    <row r="15" customFormat="false" ht="14.25" hidden="false" customHeight="false" outlineLevel="0" collapsed="false">
      <c r="A15" s="18" t="str">
        <f aca="false">IFERROR(MID(D15,1,FIND("|",D15)-1)&amp;"-"&amp;C15,"")</f>
        <v>AICI201901-2-14-1</v>
      </c>
      <c r="B15" s="19" t="n">
        <f aca="false">IFERROR(__xludf.dummyfunction("""COMPUTED_VALUE"""),43740)</f>
        <v>43740</v>
      </c>
      <c r="C15" s="0" t="n">
        <f aca="false">IFERROR(__xludf.dummyfunction("""COMPUTED_VALUE"""),1)</f>
        <v>1</v>
      </c>
      <c r="D15" s="0" t="str">
        <f aca="false">IFERROR(__xludf.dummyfunction("""COMPUTED_VALUE"""),"AICI201901-2-14| Fortalecer la participacion de los equipos de PAD en las Rondas Admnistrativas/ asistenciales definidas para identificacion de pacientes en los servicios de Hositalizacion y Urgencias suceptibles de ingresar al programa. - (15/05/2019 - 3"&amp;"1/12/2019)")</f>
        <v>AICI201901-2-14| Fortalecer la participacion de los equipos de PAD en las Rondas Admnistrativas/ asistenciales definidas para identificacion de pacientes en los servicios de Hositalizacion y Urgencias suceptibles de ingresar al programa. - (15/05/2019 - 31/12/2019)</v>
      </c>
      <c r="E15" s="0" t="str">
        <f aca="false">IFERROR(__xludf.dummyfunction("""COMPUTED_VALUE"""),"Nota:  Esta acción corresponde a 9.2, por error se numeró como 5.1 
En el servicio de urgencias para fortalecer el proceso de canalización de usuarios al PAD hoy AMED (atención médico domiciliaria)Se estableció como estrategia la realización de la ronda d"&amp;"iaria entre el urgenciólogo, el medico general de observación y el médico de PAD, para determinar que pacientes ingresan al PAD y de esta manera facilitar el egreso de los mismos. (Previamente se realizó socialización de los procedimientos MI-SC-I-77-02 I"&amp;"nstructivo para accceder al programa de atención domiciliaria, MI-SC-P-03-02 Procedimiento gestión de atención domiciliaria, y la Circular 003 del 4 /02/2019 de Lineamientos del programa de atención domiciliaria.,  en las 4 sedes: Suba, chapinero, eng y S"&amp;"uba).    Desde el mes de agosto se cuenta en las 3 UMHES de 7am a 7 pm con  urgenciólogo, quienes son los que realizan la revista. Se anexa consolidado mensual del reporte diario PAD urgencias, que envia la gestora del PAD, en donde se evidencia el ingres"&amp;"o al programa de: 7 pacientes en febrero, 4 en marzo, 3 de abril, 11 de mayo, 7 de junio, 11 de julio y 23 de agosto, para un total de 66. Se aportan soportes de rondas de búsqueda activa. como soporte se cargan solo uno ejemplos porque los archivos son m"&amp;"uy pesados, se verificaron los demás meses.  los originales reposan en el programa AMED
A la fecha no se cuenta con soportes de acciones realizadas al respecto por parte del servicio de hospitalización.")</f>
        <v>Nota:  Esta acción corresponde a 9.2, por error se numeró como 5.1 
En el servicio de urgencias para fortalecer el proceso de canalización de usuarios al PAD hoy AMED (atención médico domiciliaria)Se estableció como estrategia la realización de la ronda diaria entre el urgenciólogo, el medico general de observación y el médico de PAD, para determinar que pacientes ingresan al PAD y de esta manera facilitar el egreso de los mismos. (Previamente se realizó socialización de los procedimientos MI-SC-I-77-02 Instructivo para accceder al programa de atención domiciliaria, MI-SC-P-03-02 Procedimiento gestión de atención domiciliaria, y la Circular 003 del 4 /02/2019 de Lineamientos del programa de atención domiciliaria.,  en las 4 sedes: Suba, chapinero, eng y Suba).    Desde el mes de agosto se cuenta en las 3 UMHES de 7am a 7 pm con  urgenciólogo, quienes son los que realizan la revista. Se anexa consolidado mensual del reporte diario PAD urgencias, que envia la gestora del PAD, en donde se evidencia el ingreso al programa de: 7 pacientes en febrero, 4 en marzo, 3 de abril, 11 de mayo, 7 de junio, 11 de julio y 23 de agosto, para un total de 66. Se aportan soportes de rondas de búsqueda activa. como soporte se cargan solo uno ejemplos porque los archivos son muy pesados, se verificaron los demás meses.  los originales reposan en el programa AMED
A la fecha no se cuenta con soportes de acciones realizadas al respecto por parte del servicio de hospitalización.</v>
      </c>
      <c r="F15" s="0" t="str">
        <f aca="false">IFERROR(__xludf.dummyfunction("""COMPUTED_VALUE"""),"En desarrollo")</f>
        <v>En desarrollo</v>
      </c>
      <c r="G15" s="0" t="str">
        <f aca="false">IFERROR(__xludf.dummyfunction("""COMPUTED_VALUE"""),"https://drive.google.com/open?id=1cz0Nr-Uwa4gjJcWVfDNVZGEUd_b2PNAY, https://drive.google.com/open?id=1F1nzJBg07KTST1OGu9ajmeLQiZSKLCMJ, https://drive.google.com/open?id=1WKue9Gb44g6tDxMQW9MWEG4rDm4EH8rR, https://drive.google.com/open?id=1FW0-gdWLzeyvQUtO4"&amp;"L-UUesWrQUiqsvS, https://drive.google.com/open?id=1Wv1r8n03Y1q06iVRXYPNVbcYAt08S8AJ")</f>
        <v>https://drive.google.com/open?id=1cz0Nr-Uwa4gjJcWVfDNVZGEUd_b2PNAY, https://drive.google.com/open?id=1F1nzJBg07KTST1OGu9ajmeLQiZSKLCMJ, https://drive.google.com/open?id=1WKue9Gb44g6tDxMQW9MWEG4rDm4EH8rR, https://drive.google.com/open?id=1FW0-gdWLzeyvQUtO4L-UUesWrQUiqsvS, https://drive.google.com/open?id=1Wv1r8n03Y1q06iVRXYPNVbcYAt08S8AJ</v>
      </c>
    </row>
    <row r="16" customFormat="false" ht="14.25" hidden="false" customHeight="false" outlineLevel="0" collapsed="false">
      <c r="A16" s="18" t="str">
        <f aca="false">IFERROR(MID(D16,1,FIND("|",D16)-1)&amp;"-"&amp;C16,"")</f>
        <v>AICI201901-2-2-1</v>
      </c>
      <c r="B16" s="19" t="n">
        <f aca="false">IFERROR(__xludf.dummyfunction("""COMPUTED_VALUE"""),43742)</f>
        <v>43742</v>
      </c>
      <c r="C16" s="0" t="n">
        <f aca="false">IFERROR(__xludf.dummyfunction("""COMPUTED_VALUE"""),1)</f>
        <v>1</v>
      </c>
      <c r="D16" s="0" t="str">
        <f aca="false">IFERROR(__xludf.dummyfunction("""COMPUTED_VALUE"""),"AICI201901-2-2| Monitorizar la utilización efectiva de la capacidad instalada de salas de cirugía para tratar de optimizarla, a traves de la programación de jornadas quirúrgicas extras, para responder a la demanda, y trabajar en la priorización de pacient"&amp;"es a intervenir y diferir los menos urgentes a traves de PAD - (15/05/2019 - 31/12/2019)")</f>
        <v>AICI201901-2-2| Monitorizar la utilización efectiva de la capacidad instalada de salas de cirugía para tratar de optimizarla, a traves de la programación de jornadas quirúrgicas extras, para responder a la demanda, y trabajar en la priorización de pacientes a intervenir y diferir los menos urgentes a traves de PAD - (15/05/2019 - 31/12/2019)</v>
      </c>
      <c r="E16" s="0" t="str">
        <f aca="false">IFERROR(__xludf.dummyfunction("""COMPUTED_VALUE"""),"no se evidenciaron soportes por parte de hospitalización , se hace la solicitud de soportes pertinentes al área por orfeo
No se evidencan soportes de acciones realizadas por hospitalización. se hace requerimiento de soportes por orfeo")</f>
        <v>no se evidenciaron soportes por parte de hospitalización , se hace la solicitud de soportes pertinentes al área por orfeo
No se evidencan soportes de acciones realizadas por hospitalización. se hace requerimiento de soportes por orfeo</v>
      </c>
      <c r="F16" s="0" t="str">
        <f aca="false">IFERROR(__xludf.dummyfunction("""COMPUTED_VALUE"""),"En desarrollo")</f>
        <v>En desarrollo</v>
      </c>
    </row>
    <row r="17" customFormat="false" ht="14.25" hidden="false" customHeight="false" outlineLevel="0" collapsed="false">
      <c r="A17" s="18" t="str">
        <f aca="false">IFERROR(MID(D17,1,FIND("|",D17)-1)&amp;"-"&amp;C17,"")</f>
        <v>AICI201901-2-3-1</v>
      </c>
      <c r="B17" s="19" t="n">
        <f aca="false">IFERROR(__xludf.dummyfunction("""COMPUTED_VALUE"""),43742)</f>
        <v>43742</v>
      </c>
      <c r="C17" s="0" t="n">
        <f aca="false">IFERROR(__xludf.dummyfunction("""COMPUTED_VALUE"""),1)</f>
        <v>1</v>
      </c>
      <c r="D17" s="0" t="str">
        <f aca="false">IFERROR(__xludf.dummyfunction("""COMPUTED_VALUE"""),"AICI201901-2-3| Establecer este ejercicio de forma periodica una vez por semana con directores y diario entre lideres y gestores con realizacion de actas de seguimiento al cumplimiento a esta estrategia - (15/05/2019 - 31/12/2019)")</f>
        <v>AICI201901-2-3| Establecer este ejercicio de forma periodica una vez por semana con directores y diario entre lideres y gestores con realizacion de actas de seguimiento al cumplimiento a esta estrategia - (15/05/2019 - 31/12/2019)</v>
      </c>
      <c r="E17" s="0" t="str">
        <f aca="false">IFERROR(__xludf.dummyfunction("""COMPUTED_VALUE"""),"No se recibieron soportes de esta acción por parte de hospitalización. se hace requerimiento por orfeo")</f>
        <v>No se recibieron soportes de esta acción por parte de hospitalización. se hace requerimiento por orfeo</v>
      </c>
      <c r="F17" s="0" t="str">
        <f aca="false">IFERROR(__xludf.dummyfunction("""COMPUTED_VALUE"""),"En desarrollo")</f>
        <v>En desarrollo</v>
      </c>
    </row>
    <row r="18" customFormat="false" ht="14.25" hidden="false" customHeight="false" outlineLevel="0" collapsed="false">
      <c r="A18" s="18" t="str">
        <f aca="false">IFERROR(MID(D18,1,FIND("|",D18)-1)&amp;"-"&amp;C18,"")</f>
        <v>AICI201901-2-4-1</v>
      </c>
      <c r="B18" s="19" t="n">
        <f aca="false">IFERROR(__xludf.dummyfunction("""COMPUTED_VALUE"""),43740)</f>
        <v>43740</v>
      </c>
      <c r="C18" s="0" t="n">
        <f aca="false">IFERROR(__xludf.dummyfunction("""COMPUTED_VALUE"""),1)</f>
        <v>1</v>
      </c>
      <c r="D18" s="0" t="str">
        <f aca="false">IFERROR(__xludf.dummyfunction("""COMPUTED_VALUE"""),"AICI201901-2-4| Establecer la realizacion de Rondas Admnistrativo /asistenciales de las Direcciones Hospitalizacion , Urgencias y las Oficinas de Admisiones y Prticipacion social y servicio al ciudadano. (Incluye Directores, Lideres y Gestores) con el obj"&amp;"etivo de dinamizar el proceso de egreso de pacientes - (15/05/2019 - 31/12/2019)")</f>
        <v>AICI201901-2-4| Establecer la realizacion de Rondas Admnistrativo /asistenciales de las Direcciones Hospitalizacion , Urgencias y las Oficinas de Admisiones y Prticipacion social y servicio al ciudadano. (Incluye Directores, Lideres y Gestores) con el objetivo de dinamizar el proceso de egreso de pacientes - (15/05/2019 - 31/12/2019)</v>
      </c>
      <c r="E18" s="0" t="str">
        <f aca="false">IFERROR(__xludf.dummyfunction("""COMPUTED_VALUE"""),"Se acordó la realización de rondas por parte de  los referentes de urgencias, en compañía de los urgenciólogos, y los médicos AMED (atención médica domiciliaria) , quienes  recolectan información contenida en el formato ""Control de estancias mayores a 24"&amp;" horas. MI-GU-F-08-01 de manera diaria de lunes a viernes, desde el mes de mayo. Esta información se envía diariamente a la Dirección de urgencias. Entre los items que se tienen importantes, esta el tiempo de estancia en el DRIVE de la Direccion de urgenc"&amp;"ia , el cual opera como mecanismo de difusión de información a la Dirección de hospitalización, la Subgrencia de Servicios de Salud y la Gerencia. Desde el mes de agosto se cuenta en las 3 UMHES de 7am a 7 pm con urgenciólogo, quienes son los que realizan"&amp;" la revista. 
El Objetivo de tener esta información es visualizar claramente cuales son las causas de estancia prolongada (quirúrgicas, valoración por especialidades, toma de paraclínicos , etc)   de manera que haciendo esta información pública ante el eq"&amp;"uipo de trabajo, se puedan gestionar y priorizar las actividades a realizar, para definir los traslados, programar qx, etc.    y al mismo tiempo dinamizar los procesos de egreso  de pacientes.  Esta gestión se soporta con los formatos diligenciados, los c"&amp;"orreos enviados a hospitalización y el Chat misional. 
En torno al tema de PAD, se acordó la realización de rondas por parte de  los referentes de urgencias, en compañía de los urgenciólogos, y los médicos AMED (atención médica domiciliaria) , quienes  re"&amp;"colectan información contenida en el formato ""Control de estancias mayores a 24 horas. MI-GU-F-08-01 de manera diaria de lunes a viernes, desde el mes de mayo. Esta información se envía diariamente a la Dirección de urgencias. Entre los items que se tien"&amp;"en importantes, esta el tiempo de estancia en el DRIVE de la Direccion de urgencia , el cual opera como mecanismo de difusión de información a la Dirección de hospitalización, la Subgrencia de Servicios de Salud y la Gerencia. Desde el mes de agosto se cu"&amp;"enta en las 3 UMHES de 7am a 7 pm con urgenciólogo, quienes son los que realizan la revista. 
El Objetivo de tener esta información es visualizar claramente cuales son las causas de estancia prolongada (quirúrgicas, valoración por especialidades, toma de"&amp;" paraclínicos , etc)   de manera que haciendo esta información pública ante el equipo de trabajo, se puedan gestionar y priorizar las actividades a realizar, para definir los traslados, programar qx, etc.    y al mismo timpo dinamiezar los procesos de ege"&amp;"reso  de pacientes.  Esta gestión se soporta con los formatos diligenciados, los correos enviados a hospitalización y el Chat misional. 
no se cuenta con soportes de acciones de hospitalización para el tema de optimización de qx, ni ingreso de pacientes "&amp;"de hospitalizacion al programa PAD AMED")</f>
        <v>Se acordó la realización de rondas por parte de  los referentes de urgencias, en compañía de los urgenciólogos, y los médicos AMED (atención médica domiciliaria) , quienes  recolectan información contenida en el formato "Control de estancias mayores a 24 horas. MI-GU-F-08-01 de manera diaria de lunes a viernes, desde el mes de mayo. Esta información se envía diariamente a la Dirección de urgencias. Entre los items que se tienen importantes, esta el tiempo de estancia en el DRIVE de la Direccion de urgencia , el cual opera como mecanismo de difusión de información a la Dirección de hospitalización, la Subgrencia de Servicios de Salud y la Gerencia. Desde el mes de agosto se cuenta en las 3 UMHES de 7am a 7 pm con urgenciólogo, quienes son los que realizan la revista. 
El Objetivo de tener esta información es visualizar claramente cuales son las causas de estancia prolongada (quirúrgicas, valoración por especialidades, toma de paraclínicos , etc)   de manera que haciendo esta información pública ante el equipo de trabajo, se puedan gestionar y priorizar las actividades a realizar, para definir los traslados, programar qx, etc.    y al mismo tiempo dinamizar los procesos de egreso  de pacientes.  Esta gestión se soporta con los formatos diligenciados, los correos enviados a hospitalización y el Chat misional. 
En torno al tema de PAD, se acordó la realización de rondas por parte de  los referentes de urgencias, en compañía de los urgenciólogos, y los médicos AMED (atención médica domiciliaria) , quienes  recolectan información contenida en el formato "Control de estancias mayores a 24 horas. MI-GU-F-08-01 de manera diaria de lunes a viernes, desde el mes de mayo. Esta información se envía diariamente a la Dirección de urgencias. Entre los items que se tienen importantes, esta el tiempo de estancia en el DRIVE de la Direccion de urgencia , el cual opera como mecanismo de difusión de información a la Dirección de hospitalización, la Subgrencia de Servicios de Salud y la Gerencia. Desde el mes de agosto se cuenta en las 3 UMHES de 7am a 7 pm con urgenciólogo, quienes son los que realizan la revista. 
El Objetivo de tener esta información es visualizar claramente cuales son las causas de estancia prolongada (quirúrgicas, valoración por especialidades, toma de paraclínicos , etc)   de manera que haciendo esta información pública ante el equipo de trabajo, se puedan gestionar y priorizar las actividades a realizar, para definir los traslados, programar qx, etc.    y al mismo timpo dinamiezar los procesos de egereso  de pacientes.  Esta gestión se soporta con los formatos diligenciados, los correos enviados a hospitalización y el Chat misional. 
no se cuenta con soportes de acciones de hospitalización para el tema de optimización de qx, ni ingreso de pacientes de hospitalizacion al programa PAD AMED</v>
      </c>
      <c r="F18" s="0" t="str">
        <f aca="false">IFERROR(__xludf.dummyfunction("""COMPUTED_VALUE"""),"En desarrollo")</f>
        <v>En desarrollo</v>
      </c>
      <c r="G18" s="0" t="str">
        <f aca="false">IFERROR(__xludf.dummyfunction("""COMPUTED_VALUE"""),"https://drive.google.com/open?id=1jYFTwjZNKlhw8nqPNv1uZD0m9ndYYOrP, https://drive.google.com/open?id=1NuaK2mMPexM_wid7bm-TUmqJk736wfIO")</f>
        <v>https://drive.google.com/open?id=1jYFTwjZNKlhw8nqPNv1uZD0m9ndYYOrP, https://drive.google.com/open?id=1NuaK2mMPexM_wid7bm-TUmqJk736wfIO</v>
      </c>
    </row>
    <row r="19" customFormat="false" ht="14.25" hidden="false" customHeight="false" outlineLevel="0" collapsed="false">
      <c r="A19" s="18" t="str">
        <f aca="false">IFERROR(MID(D19,1,FIND("|",D19)-1)&amp;"-"&amp;C19,"")</f>
        <v>AICI201901-2-5-1</v>
      </c>
      <c r="B19" s="19" t="n">
        <f aca="false">IFERROR(__xludf.dummyfunction("""COMPUTED_VALUE"""),43740)</f>
        <v>43740</v>
      </c>
      <c r="C19" s="0" t="n">
        <f aca="false">IFERROR(__xludf.dummyfunction("""COMPUTED_VALUE"""),1)</f>
        <v>1</v>
      </c>
      <c r="D19" s="0" t="str">
        <f aca="false">IFERROR(__xludf.dummyfunction("""COMPUTED_VALUE"""),"AICI201901-2-5| Fortalecer con los profesionales especialistas y medicos genrales la canalizacion de usuarios al Programa de atencion domiciiaria (PAD) como estragia para el Egreso de pacientes de bajo riesgo o aquellos en lo que se puede generar alta tem"&amp;"prana segun los criterios de inclusion en el programa - (15/05/2019 - 31/12/2019)")</f>
        <v>AICI201901-2-5| Fortalecer con los profesionales especialistas y medicos genrales la canalizacion de usuarios al Programa de atencion domiciiaria (PAD) como estragia para el Egreso de pacientes de bajo riesgo o aquellos en lo que se puede generar alta temprana segun los criterios de inclusion en el programa - (15/05/2019 - 31/12/2019)</v>
      </c>
      <c r="E19" s="0" t="str">
        <f aca="false">IFERROR(__xludf.dummyfunction("""COMPUTED_VALUE"""),"Para fortalecer el proceso de canalización de usuarios al PAD hoy AMED (atención médico domiciliaria)Se estableció como estrategia la realización de la ronda diaria entre el urgenciólogo, el medico general de observación y el médico de PAD, para determina"&amp;"r que pacientes ingresan al PAD y de esta manera facilitar el egreso de los mismos. (Previamente se realizó socialización de los procedimientos MI-SC-I-77-02 Instructivo para accceder al programa de atención domiciliaria, MI-SC-P-03-02 Procedimiento gesti"&amp;"ón de atención domiciliaria, y la Circular 003 del 4 /02/2019 de Lineamientos del programa de atención domiciliaria.,  en las 4 sedes: Suba, chapinero, eng y Suba).    Desde el mes de agosto se cuenta en las 3 UMHES de 7am a 7 pm con  urgenciólogo, quiene"&amp;"s son los que realizan la revista. Se anexa consolidado mensual del reporte diario PAD urgencias, que envia la gestora del PAD, en donde se evidencia el ingreso al programa de: 7 pacientes en febrero, 4 en marzo, 3 de abril, 11 de mayo, 7 de junio, 11 de "&amp;"julio y 23 de agosto, para un total de 66. Se aportan soportes de rondas de búsqueda activa. Durante el seguimiento se verificaron todos los soportes de las planillas de búsqueda activa de julio, agosto y septiembre, se suben algunos ejemplos porque los a"&amp;"rchivos son muy pesados.  En la oficina de la gestora de AMED reposan los originales verificados.")</f>
        <v>Para fortalecer el proceso de canalización de usuarios al PAD hoy AMED (atención médico domiciliaria)Se estableció como estrategia la realización de la ronda diaria entre el urgenciólogo, el medico general de observación y el médico de PAD, para determinar que pacientes ingresan al PAD y de esta manera facilitar el egreso de los mismos. (Previamente se realizó socialización de los procedimientos MI-SC-I-77-02 Instructivo para accceder al programa de atención domiciliaria, MI-SC-P-03-02 Procedimiento gestión de atención domiciliaria, y la Circular 003 del 4 /02/2019 de Lineamientos del programa de atención domiciliaria.,  en las 4 sedes: Suba, chapinero, eng y Suba).    Desde el mes de agosto se cuenta en las 3 UMHES de 7am a 7 pm con  urgenciólogo, quienes son los que realizan la revista. Se anexa consolidado mensual del reporte diario PAD urgencias, que envia la gestora del PAD, en donde se evidencia el ingreso al programa de: 7 pacientes en febrero, 4 en marzo, 3 de abril, 11 de mayo, 7 de junio, 11 de julio y 23 de agosto, para un total de 66. Se aportan soportes de rondas de búsqueda activa. Durante el seguimiento se verificaron todos los soportes de las planillas de búsqueda activa de julio, agosto y septiembre, se suben algunos ejemplos porque los archivos son muy pesados.  En la oficina de la gestora de AMED reposan los originales verificados.</v>
      </c>
      <c r="F19" s="0" t="str">
        <f aca="false">IFERROR(__xludf.dummyfunction("""COMPUTED_VALUE"""),"En desarrollo")</f>
        <v>En desarrollo</v>
      </c>
      <c r="G19" s="0" t="str">
        <f aca="false">IFERROR(__xludf.dummyfunction("""COMPUTED_VALUE"""),"https://drive.google.com/open?id=1nZY7uPHs36SKqQY1Glk4d0I66Pjt1Tb1, https://drive.google.com/open?id=1H_ZIsfecYlZanR3LU7_A1bkGfDYLiPyv, https://drive.google.com/open?id=1g1QVzeZ1CGJ1TNBn53WC2oCOtijbfSiI")</f>
        <v>https://drive.google.com/open?id=1nZY7uPHs36SKqQY1Glk4d0I66Pjt1Tb1, https://drive.google.com/open?id=1H_ZIsfecYlZanR3LU7_A1bkGfDYLiPyv, https://drive.google.com/open?id=1g1QVzeZ1CGJ1TNBn53WC2oCOtijbfSiI</v>
      </c>
    </row>
    <row r="20" customFormat="false" ht="14.25" hidden="false" customHeight="false" outlineLevel="0" collapsed="false">
      <c r="A20" s="18" t="str">
        <f aca="false">IFERROR(MID(D20,1,FIND("|",D20)-1)&amp;"-"&amp;C20,"")</f>
        <v>AICI201901-2-6-1</v>
      </c>
      <c r="B20" s="19" t="n">
        <f aca="false">IFERROR(__xludf.dummyfunction("""COMPUTED_VALUE"""),43740)</f>
        <v>43740</v>
      </c>
      <c r="C20" s="0" t="n">
        <f aca="false">IFERROR(__xludf.dummyfunction("""COMPUTED_VALUE"""),1)</f>
        <v>1</v>
      </c>
      <c r="D20" s="0" t="str">
        <f aca="false">IFERROR(__xludf.dummyfunction("""COMPUTED_VALUE"""),"AICI201901-2-6| Revisar y actualizar el procedimineto de egreso, como estrategia para disminuir los tiempos prolongados en la generacion del egreso hospitalario incluye la medicion de tiempos y su estandarzacion. - (15/05/2019 - 31/12/2019)")</f>
        <v>AICI201901-2-6| Revisar y actualizar el procedimineto de egreso, como estrategia para disminuir los tiempos prolongados en la generacion del egreso hospitalario incluye la medicion de tiempos y su estandarzacion. - (15/05/2019 - 31/12/2019)</v>
      </c>
      <c r="E20" s="0" t="str">
        <f aca="false">IFERROR(__xludf.dummyfunction("""COMPUTED_VALUE"""),"Desde el mes de mayo se esta trabajando conjuntamente con la asesora de mercadeo y autorizaciones, la directora financiera, la líder de facturación, la lider de participación comunitaria, la líder de calidad, los directores de servicio (Hospitalarios, com"&amp;"plementarios, ambulatorios y de urgencias), asi como con la gestora de enfermería, el ciclo de egreso en los servicios. Se anexan 3 actas de reuniones y mesas de trabajo en las cuales se ha revisado el proceso de egreso, se han hecho mediciones de tiempos"&amp;" y movimientos al interior de los procesos involucrados y se definieron unos tiempos tentativos, que esta semana se están monitorizando.  Pendiente subir actas escaneadas que va a enviar patricia Ortiz")</f>
        <v>Desde el mes de mayo se esta trabajando conjuntamente con la asesora de mercadeo y autorizaciones, la directora financiera, la líder de facturación, la lider de participación comunitaria, la líder de calidad, los directores de servicio (Hospitalarios, complementarios, ambulatorios y de urgencias), asi como con la gestora de enfermería, el ciclo de egreso en los servicios. Se anexan 3 actas de reuniones y mesas de trabajo en las cuales se ha revisado el proceso de egreso, se han hecho mediciones de tiempos y movimientos al interior de los procesos involucrados y se definieron unos tiempos tentativos, que esta semana se están monitorizando.  Pendiente subir actas escaneadas que va a enviar patricia Ortiz</v>
      </c>
      <c r="F20" s="0" t="str">
        <f aca="false">IFERROR(__xludf.dummyfunction("""COMPUTED_VALUE"""),"En desarrollo")</f>
        <v>En desarrollo</v>
      </c>
      <c r="G20" s="0" t="str">
        <f aca="false">IFERROR(__xludf.dummyfunction("""COMPUTED_VALUE"""),"https://drive.google.com/open?id=1CjxzrLAWoGsTyeZHuro9OwPJW8DxJNkP, https://drive.google.com/open?id=1LBAjXp3CfA1pt7cW5HZhyBx-eRvV49V3, https://drive.google.com/open?id=1wxe0FSmgLTL6mHOLuAjfw_tAZVvJ--Q9, https://drive.google.com/open?id=160JFSqYlqhAllafKq"&amp;"AtG2fYvjybvv5ee")</f>
        <v>https://drive.google.com/open?id=1CjxzrLAWoGsTyeZHuro9OwPJW8DxJNkP, https://drive.google.com/open?id=1LBAjXp3CfA1pt7cW5HZhyBx-eRvV49V3, https://drive.google.com/open?id=1wxe0FSmgLTL6mHOLuAjfw_tAZVvJ--Q9, https://drive.google.com/open?id=160JFSqYlqhAllafKqAtG2fYvjybvv5ee</v>
      </c>
    </row>
    <row r="21" customFormat="false" ht="14.25" hidden="false" customHeight="false" outlineLevel="0" collapsed="false">
      <c r="A21" s="18" t="str">
        <f aca="false">IFERROR(MID(D21,1,FIND("|",D21)-1)&amp;"-"&amp;C21,"")</f>
        <v>AICI201901-2-7-1</v>
      </c>
      <c r="B21" s="19" t="n">
        <f aca="false">IFERROR(__xludf.dummyfunction("""COMPUTED_VALUE"""),43742)</f>
        <v>43742</v>
      </c>
      <c r="C21" s="0" t="n">
        <f aca="false">IFERROR(__xludf.dummyfunction("""COMPUTED_VALUE"""),1)</f>
        <v>1</v>
      </c>
      <c r="D21" s="0" t="str">
        <f aca="false">IFERROR(__xludf.dummyfunction("""COMPUTED_VALUE"""),"AICI201901-2-7| Establecer este ejercicio de forma periodica una vez por semana con directores y diario entre lideres y gestores con realizacion de actas de seguimiento al cumplimiento a esta estrategia - (15/05/2019 - 31/12/2019)")</f>
        <v>AICI201901-2-7| Establecer este ejercicio de forma periodica una vez por semana con directores y diario entre lideres y gestores con realizacion de actas de seguimiento al cumplimiento a esta estrategia - (15/05/2019 - 31/12/2019)</v>
      </c>
      <c r="E21" s="0" t="str">
        <f aca="false">IFERROR(__xludf.dummyfunction("""COMPUTED_VALUE"""),"No se enviaron soportes por parte de hospitalizacion, se hace requerimiento por orfeo")</f>
        <v>No se enviaron soportes por parte de hospitalizacion, se hace requerimiento por orfeo</v>
      </c>
      <c r="F21" s="0" t="str">
        <f aca="false">IFERROR(__xludf.dummyfunction("""COMPUTED_VALUE"""),"En desarrollo")</f>
        <v>En desarrollo</v>
      </c>
    </row>
    <row r="22" customFormat="false" ht="14.25" hidden="false" customHeight="false" outlineLevel="0" collapsed="false">
      <c r="A22" s="18" t="str">
        <f aca="false">IFERROR(MID(D22,1,FIND("|",D22)-1)&amp;"-"&amp;C22,"")</f>
        <v>AICI201901-2-8-1</v>
      </c>
      <c r="B22" s="19" t="n">
        <f aca="false">IFERROR(__xludf.dummyfunction("""COMPUTED_VALUE"""),43740)</f>
        <v>43740</v>
      </c>
      <c r="C22" s="0" t="n">
        <f aca="false">IFERROR(__xludf.dummyfunction("""COMPUTED_VALUE"""),1)</f>
        <v>1</v>
      </c>
      <c r="D22" s="0" t="str">
        <f aca="false">IFERROR(__xludf.dummyfunction("""COMPUTED_VALUE"""),"AICI201901-2-8| Establecer la realizacion de Rondas Admnistrativo/asistenciales de las Direcciones Hospitalizacion y Urgencias (Incluye Directores, Lideres y Gestores) con el objetivo de identificar pacientes con demoras en la realizacion de estos procedi"&amp;"mientos en el servicio de urgencias y gestionar su realizacion - (15/05/2019 - 31/12/2019)")</f>
        <v>AICI201901-2-8| Establecer la realizacion de Rondas Admnistrativo/asistenciales de las Direcciones Hospitalizacion y Urgencias (Incluye Directores, Lideres y Gestores) con el objetivo de identificar pacientes con demoras en la realizacion de estos procedimientos en el servicio de urgencias y gestionar su realizacion - (15/05/2019 - 31/12/2019)</v>
      </c>
      <c r="E22" s="0" t="str">
        <f aca="false">IFERROR(__xludf.dummyfunction("""COMPUTED_VALUE"""),"Se acordó la realización de rondas por parte de  los referentes de urgencias, en compañía de los urgenciólogos, y los médicos AMED (atención médica domiciliaria) , quienes  recolectan información contenida en el formato ""Control de estancias mayores a 24"&amp;" horas. MI-GU-F-08-01 de manera diaria de lunes a viernes, desde el mes de mayo. Esta información se envía diariamente a la Dirección de urgencias. Entre los items que se tienen importantes, esta el tiempo de estancia en el DRIVE de la Direccion de urgenc"&amp;"ia , el cual opera como mecanismo de difusión de información a la Dirección de hospitalización, la Subgrencia de Servicios de Salud y la Gerencia. Desde el mes de agosto se cuenta en las 3 UMHES de 7am a 7 pm con urgenciólogo, quienes son los que realizan"&amp;" la revista. 
El Objetivo de tener esta información es visualizar claramente cuales son las causas de estancia prolongada (quirúrgicas, valoración por especialidades, toma de paraclínicos , etc)   de manera que haciendo esta información pública ante el eq"&amp;"uipo de trabajo, se puedan gestionar y priorizar las actividades a realizar, para definir los traslados, programar qx, etc.    y al mismo timpo dinamiezar los procesos de egereso  de pacientes.  Esta gestión se soporta con los formatos diligenciados, los "&amp;"correos enviados a hospitalización y el Chat misional. ")</f>
        <v>Se acordó la realización de rondas por parte de  los referentes de urgencias, en compañía de los urgenciólogos, y los médicos AMED (atención médica domiciliaria) , quienes  recolectan información contenida en el formato "Control de estancias mayores a 24 horas. MI-GU-F-08-01 de manera diaria de lunes a viernes, desde el mes de mayo. Esta información se envía diariamente a la Dirección de urgencias. Entre los items que se tienen importantes, esta el tiempo de estancia en el DRIVE de la Direccion de urgencia , el cual opera como mecanismo de difusión de información a la Dirección de hospitalización, la Subgrencia de Servicios de Salud y la Gerencia. Desde el mes de agosto se cuenta en las 3 UMHES de 7am a 7 pm con urgenciólogo, quienes son los que realizan la revista. 
El Objetivo de tener esta información es visualizar claramente cuales son las causas de estancia prolongada (quirúrgicas, valoración por especialidades, toma de paraclínicos , etc)   de manera que haciendo esta información pública ante el equipo de trabajo, se puedan gestionar y priorizar las actividades a realizar, para definir los traslados, programar qx, etc.    y al mismo timpo dinamiezar los procesos de egereso  de pacientes.  Esta gestión se soporta con los formatos diligenciados, los correos enviados a hospitalización y el Chat misional. </v>
      </c>
      <c r="F22" s="0" t="str">
        <f aca="false">IFERROR(__xludf.dummyfunction("""COMPUTED_VALUE"""),"En desarrollo")</f>
        <v>En desarrollo</v>
      </c>
      <c r="G22" s="0" t="str">
        <f aca="false">IFERROR(__xludf.dummyfunction("""COMPUTED_VALUE"""),"https://drive.google.com/open?id=1mMOl6XCSaZtJm38Zq8vWspeIdtMe8tge, https://drive.google.com/open?id=1loLYroYiOCXUak0726JAfX3yHsqMTHXi")</f>
        <v>https://drive.google.com/open?id=1mMOl6XCSaZtJm38Zq8vWspeIdtMe8tge, https://drive.google.com/open?id=1loLYroYiOCXUak0726JAfX3yHsqMTHXi</v>
      </c>
    </row>
    <row r="23" customFormat="false" ht="14.25" hidden="false" customHeight="false" outlineLevel="0" collapsed="false">
      <c r="A23" s="18" t="str">
        <f aca="false">IFERROR(MID(D23,1,FIND("|",D23)-1)&amp;"-"&amp;C23,"")</f>
        <v>AICI201901-2-9-1</v>
      </c>
      <c r="B23" s="19" t="n">
        <f aca="false">IFERROR(__xludf.dummyfunction("""COMPUTED_VALUE"""),43742)</f>
        <v>43742</v>
      </c>
      <c r="C23" s="0" t="n">
        <f aca="false">IFERROR(__xludf.dummyfunction("""COMPUTED_VALUE"""),1)</f>
        <v>1</v>
      </c>
      <c r="D23" s="0" t="str">
        <f aca="false">IFERROR(__xludf.dummyfunction("""COMPUTED_VALUE"""),"AICI201901-2-9| Publicar en los servicios de urgencias los horarios y dias de disponibilidad para la realizacion de procedimientos intermedios y la USS donde se realicen para que los equipos asistenciales puedan identificar a donde se prestan los servicio"&amp;"s y as informar de manera correcta los usuarios sobre la programacion de estos procedimientos y se pueda gestionar su realizacion - (15/05/2019 - 31/12/2019)")</f>
        <v>AICI201901-2-9| Publicar en los servicios de urgencias los horarios y dias de disponibilidad para la realizacion de procedimientos intermedios y la USS donde se realicen para que los equipos asistenciales puedan identificar a donde se prestan los servicios y as informar de manera correcta los usuarios sobre la programacion de estos procedimientos y se pueda gestionar su realizacion - (15/05/2019 - 31/12/2019)</v>
      </c>
      <c r="E23" s="0" t="str">
        <f aca="false">IFERROR(__xludf.dummyfunction("""COMPUTED_VALUE"""),"la Dirección de ambulatorios pasó a la dirceción de urgencias el listado de los procedimientos intermedios, como son cardiología, gastro, neurología, otorrino y urología, con horario y USS de atención, para proceder a publicar en las carteleras internas d"&amp;"e los servicios y enviar por correo al gestor de la central de referencia y a los líderes de los servicios de urgencias para la socialización respectiva. se evidenció programación de horarios de los especialistas que ofertan dichos servicios. pendiente so"&amp;"porte de publicación ")</f>
        <v>la Dirección de ambulatorios pasó a la dirceción de urgencias el listado de los procedimientos intermedios, como son cardiología, gastro, neurología, otorrino y urología, con horario y USS de atención, para proceder a publicar en las carteleras internas de los servicios y enviar por correo al gestor de la central de referencia y a los líderes de los servicios de urgencias para la socialización respectiva. se evidenció programación de horarios de los especialistas que ofertan dichos servicios. pendiente soporte de publicación </v>
      </c>
      <c r="F23" s="0" t="str">
        <f aca="false">IFERROR(__xludf.dummyfunction("""COMPUTED_VALUE"""),"En desarrollo")</f>
        <v>En desarrollo</v>
      </c>
    </row>
    <row r="24" customFormat="false" ht="14.25" hidden="false" customHeight="false" outlineLevel="0" collapsed="false">
      <c r="A24" s="18" t="str">
        <f aca="false">IFERROR(MID(D24,1,FIND("|",D24)-1)&amp;"-"&amp;C24,"")</f>
        <v>AICI201901-3-1-1</v>
      </c>
      <c r="B24" s="19" t="n">
        <f aca="false">IFERROR(__xludf.dummyfunction("""COMPUTED_VALUE"""),43741)</f>
        <v>43741</v>
      </c>
      <c r="C24" s="0" t="n">
        <f aca="false">IFERROR(__xludf.dummyfunction("""COMPUTED_VALUE"""),1)</f>
        <v>1</v>
      </c>
      <c r="D24" s="0" t="str">
        <f aca="false">IFERROR(__xludf.dummyfunction("""COMPUTED_VALUE"""),"AICI201901-3-1| Normalizar el procedimiento de atencion de urgencias según lo establecido en el procedimiento de Normalizacion y regulacion Documental CL-P-04-01. - (15/05/2019 - 31/05/2019)")</f>
        <v>AICI201901-3-1| Normalizar el procedimiento de atencion de urgencias según lo establecido en el procedimiento de Normalizacion y regulacion Documental CL-P-04-01. - (15/05/2019 - 31/05/2019)</v>
      </c>
      <c r="E24" s="0" t="str">
        <f aca="false">IFERROR(__xludf.dummyfunction("""COMPUTED_VALUE"""),"Para contextualizar esta acción, es necesario aclarar  que en el momento de cierre de la auditoría  y lectura de los hallazgos, los documentos de procedimiento de atención integral de urgencias y ciclo de atención ya había sido enviados para revisión y ap"&amp;"robación por subgerencia de servicios de salud y calidad, por lo tanto se incluyeron en este plan de acción, pero la acción real ya estaba en curso, y por esta razón se incluye aquí el resultado de la misma.   El día 24 de abril quedo publicado en la intr"&amp;"anet el documento ES-GC-F-50-02 Ciclo del servicio,  y el 14 de Marzo a normalización.     MI -GU -P 01- 03 PROCEDIMIENTO DE ATENCIÓN DE URGENCIAS 24/09/2019 se anexan documentos.")</f>
        <v>Para contextualizar esta acción, es necesario aclarar  que en el momento de cierre de la auditoría  y lectura de los hallazgos, los documentos de procedimiento de atención integral de urgencias y ciclo de atención ya había sido enviados para revisión y aprobación por subgerencia de servicios de salud y calidad, por lo tanto se incluyeron en este plan de acción, pero la acción real ya estaba en curso, y por esta razón se incluye aquí el resultado de la misma.   El día 24 de abril quedo publicado en la intranet el documento ES-GC-F-50-02 Ciclo del servicio,  y el 14 de Marzo a normalización.     MI -GU -P 01- 03 PROCEDIMIENTO DE ATENCIÓN DE URGENCIAS 24/09/2019 se anexan documentos.</v>
      </c>
      <c r="F24" s="0" t="str">
        <f aca="false">IFERROR(__xludf.dummyfunction("""COMPUTED_VALUE"""),"Completo")</f>
        <v>Completo</v>
      </c>
      <c r="G24" s="0" t="str">
        <f aca="false">IFERROR(__xludf.dummyfunction("""COMPUTED_VALUE"""),"https://drive.google.com/open?id=1PUG9EEa3EcvY035QxvdlX6ovs3-aJKbC, https://drive.google.com/open?id=1qtpHa_0GJEehLKi28lt7nmdFxpxZGfoT")</f>
        <v>https://drive.google.com/open?id=1PUG9EEa3EcvY035QxvdlX6ovs3-aJKbC, https://drive.google.com/open?id=1qtpHa_0GJEehLKi28lt7nmdFxpxZGfoT</v>
      </c>
    </row>
    <row r="25" customFormat="false" ht="14.25" hidden="false" customHeight="false" outlineLevel="0" collapsed="false">
      <c r="A25" s="18" t="str">
        <f aca="false">IFERROR(MID(D25,1,FIND("|",D25)-1)&amp;"-"&amp;C25,"")</f>
        <v>AICI201901-3-2-1</v>
      </c>
      <c r="B25" s="19" t="n">
        <f aca="false">IFERROR(__xludf.dummyfunction("""COMPUTED_VALUE"""),43741)</f>
        <v>43741</v>
      </c>
      <c r="C25" s="0" t="n">
        <f aca="false">IFERROR(__xludf.dummyfunction("""COMPUTED_VALUE"""),1)</f>
        <v>1</v>
      </c>
      <c r="D25" s="0" t="str">
        <f aca="false">IFERROR(__xludf.dummyfunction("""COMPUTED_VALUE"""),"AICI201901-3-2| Socializar el PROCEDIMIENTO ATENCIÓN INTEGRAL DE URGENCIAS MI-GU-P-01-03, a todo el personal asistencial y administrativo del servicio de urgencias - (31/05/2019 - 31/07/2019)")</f>
        <v>AICI201901-3-2| Socializar el PROCEDIMIENTO ATENCIÓN INTEGRAL DE URGENCIAS MI-GU-P-01-03, a todo el personal asistencial y administrativo del servicio de urgencias - (31/05/2019 - 31/07/2019)</v>
      </c>
      <c r="E25" s="0" t="str">
        <f aca="false">IFERROR(__xludf.dummyfunction("""COMPUTED_VALUE"""),"Esta acción  realmente debería hacer referencia a la socialización del ciclo de urgencias siguiendo la secuencia de lo anterior.  Sin embargo da cuenta de las 2 acciones.  Se realizó socialización del documento ES-GC-F-50-02 Ciclo del Servicio por parte d"&amp;"e los líderes, por la razón enunciada en numeral anterior se dió inicio a socializaciones desde abril, también se realizó socializacion de procedimiento de atención de urgencias junto con otros documentos del área. se evidencian soportes, Chapinero: panta"&amp;"llazo de correo enviado el 30 de mayo y acta de socialización personalizada del 8 de mayo. Engativá: pantallazo de correo enviado el 6 de mayo y acta de socialización personalizada del 24 de abril, y acta de acto de entrega de documentos de la Dirección d"&amp;"e Urgencias en CD del 26 de junio. Referencia: pantallazo de correo enviado el 7 de junio y acta de socialización personalizada del 20 de junio, y acta de acto de entrega de documentos de la Dirección de Urgencias en CD del 25 de junio. Simón: pantallazo "&amp;"de correo enviado el 25 de abril y acta de socialización personalizada del 30 de abril, y acta de acto de entrega de documentos de la Dirección de Urgencias en CD del 25 de junio. Suba: acta de socialización personalizada del 30 de abril, y acta de acto d"&amp;"e entrega de documentos de la Dirección de Urgencias en CD del 21 de junio.  Se cargan algunos ejemplos dado que los archivos son muy pesados.  se hizo verificación de todos los soportes, los cuales reposan en la dirección de urgencias")</f>
        <v>Esta acción  realmente debería hacer referencia a la socialización del ciclo de urgencias siguiendo la secuencia de lo anterior.  Sin embargo da cuenta de las 2 acciones.  Se realizó socialización del documento ES-GC-F-50-02 Ciclo del Servicio por parte de los líderes, por la razón enunciada en numeral anterior se dió inicio a socializaciones desde abril, también se realizó socializacion de procedimiento de atención de urgencias junto con otros documentos del área. se evidencian soportes, Chapinero: pantallazo de correo enviado el 30 de mayo y acta de socialización personalizada del 8 de mayo. Engativá: pantallazo de correo enviado el 6 de mayo y acta de socialización personalizada del 24 de abril, y acta de acto de entrega de documentos de la Dirección de Urgencias en CD del 26 de junio. Referencia: pantallazo de correo enviado el 7 de junio y acta de socialización personalizada del 20 de junio, y acta de acto de entrega de documentos de la Dirección de Urgencias en CD del 25 de junio. Simón: pantallazo de correo enviado el 25 de abril y acta de socialización personalizada del 30 de abril, y acta de acto de entrega de documentos de la Dirección de Urgencias en CD del 25 de junio. Suba: acta de socialización personalizada del 30 de abril, y acta de acto de entrega de documentos de la Dirección de Urgencias en CD del 21 de junio.  Se cargan algunos ejemplos dado que los archivos son muy pesados.  se hizo verificación de todos los soportes, los cuales reposan en la dirección de urgencias</v>
      </c>
      <c r="F25" s="0" t="str">
        <f aca="false">IFERROR(__xludf.dummyfunction("""COMPUTED_VALUE"""),"Completo")</f>
        <v>Completo</v>
      </c>
      <c r="G25" s="0" t="str">
        <f aca="false">IFERROR(__xludf.dummyfunction("""COMPUTED_VALUE"""),"https://drive.google.com/open?id=1UfL0uq-lqftx37ABpZJ3LLPveWIj1f7r, https://drive.google.com/open?id=1FwD_YtmB0vSboYKdn5OjXDI1Uqb3Lgml")</f>
        <v>https://drive.google.com/open?id=1UfL0uq-lqftx37ABpZJ3LLPveWIj1f7r, https://drive.google.com/open?id=1FwD_YtmB0vSboYKdn5OjXDI1Uqb3Lgml</v>
      </c>
    </row>
    <row r="26" customFormat="false" ht="14.25" hidden="false" customHeight="false" outlineLevel="0" collapsed="false">
      <c r="A26" s="18" t="str">
        <f aca="false">IFERROR(MID(D26,1,FIND("|",D26)-1)&amp;"-"&amp;C26,"")</f>
        <v>AICI201901-4-1-1</v>
      </c>
      <c r="B26" s="19" t="n">
        <f aca="false">IFERROR(__xludf.dummyfunction("""COMPUTED_VALUE"""),43741)</f>
        <v>43741</v>
      </c>
      <c r="C26" s="0" t="n">
        <f aca="false">IFERROR(__xludf.dummyfunction("""COMPUTED_VALUE"""),1)</f>
        <v>1</v>
      </c>
      <c r="D26" s="0" t="str">
        <f aca="false">IFERROR(__xludf.dummyfunction("""COMPUTED_VALUE"""),"AICI201901-4-1| Socializar el PROCEDIMIENTO ATENCIÓN INTEGRAL DE URGENCIAS MI-GU-P-01-03, a todo el personal asistencial y administrativo del servicio de urgencias - (15/05/2019 - 31/07/2019)")</f>
        <v>AICI201901-4-1| Socializar el PROCEDIMIENTO ATENCIÓN INTEGRAL DE URGENCIAS MI-GU-P-01-03, a todo el personal asistencial y administrativo del servicio de urgencias - (15/05/2019 - 31/07/2019)</v>
      </c>
      <c r="E26" s="0" t="str">
        <f aca="false">IFERROR(__xludf.dummyfunction("""COMPUTED_VALUE"""),"Se realizaron socializaciones así:  Chapinero: pantallazo de correo enviado el 30 de mayo y acta de socialización personalizada del 8 de mayo. Engativá: pantallazo de correo enviado el 6 de mayo y acta de socialización personalizada del 24 de abril, y act"&amp;"a de acto de entrega de documentos de la Dirección de Urgencias en CD del 26 de junio. Referencia: pantallazo de correo enviado el 7 de junio y acta de socialización personalizada del 20 de junio, y acta de acto de entrega de documentos de la Dirección de"&amp;" Urgencias en CD del 25 de junio. Simón: pantallazo de correo enviado el 25 de abril y acta de socialización personalizada del 30 de abril, y acta de acto de entrega de documentos de la Dirección de Urgencias en CD del 25 de junio. Suba: acta de socializa"&amp;"ción personalizada del 30 de abril, y acta de acto de entrega de documentos de la Dirección de Urgencias en CD del 21 de junio.  Se cargan algunos ejemplos dado que los archivos son muy pesados.  Se hizo verificación de todos los soportes, los cuales repo"&amp;"san en la dirección de urgencias")</f>
        <v>Se realizaron socializaciones así:  Chapinero: pantallazo de correo enviado el 30 de mayo y acta de socialización personalizada del 8 de mayo. Engativá: pantallazo de correo enviado el 6 de mayo y acta de socialización personalizada del 24 de abril, y acta de acto de entrega de documentos de la Dirección de Urgencias en CD del 26 de junio. Referencia: pantallazo de correo enviado el 7 de junio y acta de socialización personalizada del 20 de junio, y acta de acto de entrega de documentos de la Dirección de Urgencias en CD del 25 de junio. Simón: pantallazo de correo enviado el 25 de abril y acta de socialización personalizada del 30 de abril, y acta de acto de entrega de documentos de la Dirección de Urgencias en CD del 25 de junio. Suba: acta de socialización personalizada del 30 de abril, y acta de acto de entrega de documentos de la Dirección de Urgencias en CD del 21 de junio.  Se cargan algunos ejemplos dado que los archivos son muy pesados.  Se hizo verificación de todos los soportes, los cuales reposan en la dirección de urgencias</v>
      </c>
      <c r="F26" s="0" t="str">
        <f aca="false">IFERROR(__xludf.dummyfunction("""COMPUTED_VALUE"""),"Completo")</f>
        <v>Completo</v>
      </c>
      <c r="G26" s="0" t="str">
        <f aca="false">IFERROR(__xludf.dummyfunction("""COMPUTED_VALUE"""),"https://drive.google.com/open?id=1iHVRiFhsFElVRVI1K8tz4ILmkEpf1HbF, https://drive.google.com/open?id=1sVTIH6FLg0DQXyq9XIa5Uqa7_NBnY4J4")</f>
        <v>https://drive.google.com/open?id=1iHVRiFhsFElVRVI1K8tz4ILmkEpf1HbF, https://drive.google.com/open?id=1sVTIH6FLg0DQXyq9XIa5Uqa7_NBnY4J4</v>
      </c>
    </row>
    <row r="27" customFormat="false" ht="14.25" hidden="false" customHeight="false" outlineLevel="0" collapsed="false">
      <c r="A27" s="18" t="str">
        <f aca="false">IFERROR(MID(D27,1,FIND("|",D27)-1)&amp;"-"&amp;C27,"")</f>
        <v>AICI201901-4-2-1</v>
      </c>
      <c r="B27" s="19" t="n">
        <f aca="false">IFERROR(__xludf.dummyfunction("""COMPUTED_VALUE"""),43741)</f>
        <v>43741</v>
      </c>
      <c r="C27" s="0" t="n">
        <f aca="false">IFERROR(__xludf.dummyfunction("""COMPUTED_VALUE"""),1)</f>
        <v>1</v>
      </c>
      <c r="D27" s="0" t="str">
        <f aca="false">IFERROR(__xludf.dummyfunction("""COMPUTED_VALUE"""),"AICI201901-4-2| Evaluar el conocimiento del personal medico al MI-GU-I-02-01-INSTRUCTIVO ATENCIÓN MÉDICA INICIAL Y DEFINICIÓN DE CONDUCTA - (31/07/2019 - 30/08/2019)")</f>
        <v>AICI201901-4-2| Evaluar el conocimiento del personal medico al MI-GU-I-02-01-INSTRUCTIVO ATENCIÓN MÉDICA INICIAL Y DEFINICIÓN DE CONDUCTA - (31/07/2019 - 30/08/2019)</v>
      </c>
      <c r="E27" s="0" t="str">
        <f aca="false">IFERROR(__xludf.dummyfunction("""COMPUTED_VALUE"""),"Se realizó una evaluación de 5 preguntas para el instructivo  MI-GU-I-02-01-INSTRUCTIVO ATENCIÓN MÉDICA INICIAL Y DEFINICIÓN DE CONDUCTA, y se obtuvo como calificación promedio en Simón 4.7, Suba 4.03, Calle 80 4.4 y Chapinero de 4.9, para un total de 4.5"&amp;".   Se verifican soportes de evaluación realizada y la consolidación de soporte. no se sube la totalidad de los soportes porque el archivo es muy pesado. los mismos reposan en la dirección de urgencias.")</f>
        <v>Se realizó una evaluación de 5 preguntas para el instructivo  MI-GU-I-02-01-INSTRUCTIVO ATENCIÓN MÉDICA INICIAL Y DEFINICIÓN DE CONDUCTA, y se obtuvo como calificación promedio en Simón 4.7, Suba 4.03, Calle 80 4.4 y Chapinero de 4.9, para un total de 4.5.   Se verifican soportes de evaluación realizada y la consolidación de soporte. no se sube la totalidad de los soportes porque el archivo es muy pesado. los mismos reposan en la dirección de urgencias.</v>
      </c>
      <c r="F27" s="0" t="str">
        <f aca="false">IFERROR(__xludf.dummyfunction("""COMPUTED_VALUE"""),"Completo")</f>
        <v>Completo</v>
      </c>
      <c r="G27" s="0" t="str">
        <f aca="false">IFERROR(__xludf.dummyfunction("""COMPUTED_VALUE"""),"https://drive.google.com/open?id=1oGHzaRGV3aIUqlf39SSl6n-9lwkXff1f, https://drive.google.com/open?id=1lFA5xuUw_-xunWL9af8799ikMchfc_HA, https://drive.google.com/open?id=1--gQhQKsU6uK7NkwGdkjNZzJFPKtHi4M, https://drive.google.com/open?id=1jd7yGNaE-5MJFyVFO"&amp;"LfTgtBJdUyj7dVc, https://drive.google.com/open?id=1u5fHT2tek7GZKvGVwjpqM5BNcKMwV487")</f>
        <v>https://drive.google.com/open?id=1oGHzaRGV3aIUqlf39SSl6n-9lwkXff1f, https://drive.google.com/open?id=1lFA5xuUw_-xunWL9af8799ikMchfc_HA, https://drive.google.com/open?id=1--gQhQKsU6uK7NkwGdkjNZzJFPKtHi4M, https://drive.google.com/open?id=1jd7yGNaE-5MJFyVFOLfTgtBJdUyj7dVc, https://drive.google.com/open?id=1u5fHT2tek7GZKvGVwjpqM5BNcKMwV487</v>
      </c>
    </row>
    <row r="28" customFormat="false" ht="14.25" hidden="false" customHeight="false" outlineLevel="0" collapsed="false">
      <c r="A28" s="18" t="str">
        <f aca="false">IFERROR(MID(D28,1,FIND("|",D28)-1)&amp;"-"&amp;C28,"")</f>
        <v>AICI201901-4-3-1</v>
      </c>
      <c r="B28" s="19" t="n">
        <f aca="false">IFERROR(__xludf.dummyfunction("""COMPUTED_VALUE"""),43741)</f>
        <v>43741</v>
      </c>
      <c r="C28" s="0" t="n">
        <f aca="false">IFERROR(__xludf.dummyfunction("""COMPUTED_VALUE"""),1)</f>
        <v>1</v>
      </c>
      <c r="D28" s="0" t="str">
        <f aca="false">IFERROR(__xludf.dummyfunction("""COMPUTED_VALUE"""),"AICI201901-4-3| Socializar el MI-GU-I-02-01-INSTRUCTIVO ATENCIÓN MÉDICA INICIAL Y DEFINICIÓN DE CONDUCTA, a todo el personal asistencial medico del servicio de urgencias - (15/05/2019 - 31/07/2019)")</f>
        <v>AICI201901-4-3| Socializar el MI-GU-I-02-01-INSTRUCTIVO ATENCIÓN MÉDICA INICIAL Y DEFINICIÓN DE CONDUCTA, a todo el personal asistencial medico del servicio de urgencias - (15/05/2019 - 31/07/2019)</v>
      </c>
      <c r="E28" s="0" t="str">
        <f aca="false">IFERROR(__xludf.dummyfunction("""COMPUTED_VALUE"""),"Se realizó socialización del documento MI-GU-I-02-01 Instructivo  Atención médica inicial y Definición de conducta por parte de los líderes, Chapinero: 12 agosto Engativá: acta de acto de entrega de documentos de la Dirección de Urgencias en CD del 26 de "&amp;"junio. Simón: acta de acto de entrega de documentos de la Dirección de Urgencias en CD del 25 de junio. Suba: acta de acto de entrega de documentos de la Dirección de Urgencias en CD del 21 de junio.  Se evidencian soportes  de socializaciones realizadas "&amp;"al personal de urgencias.  Se anexa pantallazo con algunos soportes de socialización, la totalidad de soportes realizados se encuentra en la dirección de urgencias")</f>
        <v>Se realizó socialización del documento MI-GU-I-02-01 Instructivo  Atención médica inicial y Definición de conducta por parte de los líderes, Chapinero: 12 agosto Engativá: acta de acto de entrega de documentos de la Dirección de Urgencias en CD del 26 de junio. Simón: acta de acto de entrega de documentos de la Dirección de Urgencias en CD del 25 de junio. Suba: acta de acto de entrega de documentos de la Dirección de Urgencias en CD del 21 de junio.  Se evidencian soportes  de socializaciones realizadas al personal de urgencias.  Se anexa pantallazo con algunos soportes de socialización, la totalidad de soportes realizados se encuentra en la dirección de urgencias</v>
      </c>
      <c r="F28" s="0" t="str">
        <f aca="false">IFERROR(__xludf.dummyfunction("""COMPUTED_VALUE"""),"Completo")</f>
        <v>Completo</v>
      </c>
      <c r="G28" s="0" t="str">
        <f aca="false">IFERROR(__xludf.dummyfunction("""COMPUTED_VALUE"""),"https://drive.google.com/open?id=1Ov2j6QT0T-twW8EqaGScFCS2pHCIGHU_, https://drive.google.com/open?id=17EEQBPQdCTnn5XkD5HJDm8_2Y-xv8orZ, https://drive.google.com/open?id=14LSj8DtYAj0G4bde3hUmj-yzvrzEMh5i, https://drive.google.com/open?id=18XGiHoy15xeH0xLUT"&amp;"jmX4SVInm1G2Ha4, https://drive.google.com/open?id=11hK9M_roeXaTKSjPkQOxiiWnGYTlxg-K")</f>
        <v>https://drive.google.com/open?id=1Ov2j6QT0T-twW8EqaGScFCS2pHCIGHU_, https://drive.google.com/open?id=17EEQBPQdCTnn5XkD5HJDm8_2Y-xv8orZ, https://drive.google.com/open?id=14LSj8DtYAj0G4bde3hUmj-yzvrzEMh5i, https://drive.google.com/open?id=18XGiHoy15xeH0xLUTjmX4SVInm1G2Ha4, https://drive.google.com/open?id=11hK9M_roeXaTKSjPkQOxiiWnGYTlxg-K</v>
      </c>
    </row>
    <row r="29" customFormat="false" ht="14.25" hidden="false" customHeight="false" outlineLevel="0" collapsed="false">
      <c r="A29" s="18" t="str">
        <f aca="false">IFERROR(MID(D29,1,FIND("|",D29)-1)&amp;"-"&amp;C29,"")</f>
        <v>AICI201901-4-4-1</v>
      </c>
      <c r="B29" s="19" t="n">
        <f aca="false">IFERROR(__xludf.dummyfunction("""COMPUTED_VALUE"""),43742)</f>
        <v>43742</v>
      </c>
      <c r="C29" s="0" t="n">
        <f aca="false">IFERROR(__xludf.dummyfunction("""COMPUTED_VALUE"""),1)</f>
        <v>1</v>
      </c>
      <c r="D29" s="0" t="str">
        <f aca="false">IFERROR(__xludf.dummyfunction("""COMPUTED_VALUE"""),"AICI201901-4-4| Evaluar el conocimiento del personal medico al MI-GU-I-02-01-INSTRUCTIVO ATENCIÓN MÉDICA INICIAL Y DEFINICIÓN DE CONDUCTA - (31/07/2019 - 30/08/2019)")</f>
        <v>AICI201901-4-4| Evaluar el conocimiento del personal medico al MI-GU-I-02-01-INSTRUCTIVO ATENCIÓN MÉDICA INICIAL Y DEFINICIÓN DE CONDUCTA - (31/07/2019 - 30/08/2019)</v>
      </c>
      <c r="E29" s="0" t="str">
        <f aca="false">IFERROR(__xludf.dummyfunction("""COMPUTED_VALUE"""),"Se realizó una evaluación de 5 preguntas para el instructivo  MI-GU-I-02-01-INSTRUCTIVO ATENCIÓN MÉDICA INICIAL Y DEFINICIÓN DE CONDUCTA, se verificaron soportes de evaluaciones en la auditoria los originales reposan en la dirección de urgencias, no se pu"&amp;"eden subir porque los archivos son muy pesados")</f>
        <v>Se realizó una evaluación de 5 preguntas para el instructivo  MI-GU-I-02-01-INSTRUCTIVO ATENCIÓN MÉDICA INICIAL Y DEFINICIÓN DE CONDUCTA, se verificaron soportes de evaluaciones en la auditoria los originales reposan en la dirección de urgencias, no se pueden subir porque los archivos son muy pesados</v>
      </c>
      <c r="F29" s="0" t="str">
        <f aca="false">IFERROR(__xludf.dummyfunction("""COMPUTED_VALUE"""),"Completo")</f>
        <v>Completo</v>
      </c>
      <c r="G29" s="0" t="str">
        <f aca="false">IFERROR(__xludf.dummyfunction("""COMPUTED_VALUE"""),"https://drive.google.com/open?id=1W7u-XP5ne0jSbhHG5va8ntXMOqHlxjQE, https://drive.google.com/open?id=1b0iB5I00qNALAxcyaSI-_dx_yulNDZ-z, https://drive.google.com/open?id=1Y9L8lgVE2_q3HHMTxtM4Lzk6rVZIY8ea")</f>
        <v>https://drive.google.com/open?id=1W7u-XP5ne0jSbhHG5va8ntXMOqHlxjQE, https://drive.google.com/open?id=1b0iB5I00qNALAxcyaSI-_dx_yulNDZ-z, https://drive.google.com/open?id=1Y9L8lgVE2_q3HHMTxtM4Lzk6rVZIY8ea</v>
      </c>
    </row>
    <row r="30" customFormat="false" ht="14.25" hidden="false" customHeight="false" outlineLevel="0" collapsed="false">
      <c r="A30" s="18" t="str">
        <f aca="false">IFERROR(MID(D30,1,FIND("|",D30)-1)&amp;"-"&amp;C30,"")</f>
        <v>AICI201901-5-1-1</v>
      </c>
      <c r="B30" s="19" t="n">
        <f aca="false">IFERROR(__xludf.dummyfunction("""COMPUTED_VALUE"""),43741)</f>
        <v>43741</v>
      </c>
      <c r="C30" s="0" t="n">
        <f aca="false">IFERROR(__xludf.dummyfunction("""COMPUTED_VALUE"""),1)</f>
        <v>1</v>
      </c>
      <c r="D30" s="0" t="str">
        <f aca="false">IFERROR(__xludf.dummyfunction("""COMPUTED_VALUE"""),"AICI201901-5-1| Socializar a todo el grupo de medicos generales de los servicios de urgencias su obligacion en la revision de las respuestas de las interconsultas y en la continuidad de los servicios y tratamientos que suguiera la Especialidad como uno de"&amp;" los atributos de la calidad de la atencion - (15/05/2019 - 31/07/2019)")</f>
        <v>AICI201901-5-1| Socializar a todo el grupo de medicos generales de los servicios de urgencias su obligacion en la revision de las respuestas de las interconsultas y en la continuidad de los servicios y tratamientos que suguiera la Especialidad como uno de los atributos de la calidad de la atencion - (15/05/2019 - 31/07/2019)</v>
      </c>
      <c r="E30" s="0" t="str">
        <f aca="false">IFERROR(__xludf.dummyfunction("""COMPUTED_VALUE"""),"Se elaboró por parte del Director de urgencias el memorando 011 sobre""Directrices para el cumplimiento obligatorio sobre la información y revisión de la respuesta a interconsultas en los servicios de urgencias, y va dirigido a Directores, líderes, médico"&amp;"s generales y especialistas, el memorando  se envió el 18 de septiembre a los líderes del servicio de urgencias, así como a los Directores de servicios y a la Subgerencia de Prestación de Servicios de Salud. Los líderes procedieron a realizar la socializa"&amp;"ción por correo, y se anexan los soportes de los correos enviados. se anexan soportes")</f>
        <v>Se elaboró por parte del Director de urgencias el memorando 011 sobre"Directrices para el cumplimiento obligatorio sobre la información y revisión de la respuesta a interconsultas en los servicios de urgencias, y va dirigido a Directores, líderes, médicos generales y especialistas, el memorando  se envió el 18 de septiembre a los líderes del servicio de urgencias, así como a los Directores de servicios y a la Subgerencia de Prestación de Servicios de Salud. Los líderes procedieron a realizar la socialización por correo, y se anexan los soportes de los correos enviados. se anexan soportes</v>
      </c>
      <c r="F30" s="0" t="str">
        <f aca="false">IFERROR(__xludf.dummyfunction("""COMPUTED_VALUE"""),"Completo")</f>
        <v>Completo</v>
      </c>
      <c r="G30" s="0" t="str">
        <f aca="false">IFERROR(__xludf.dummyfunction("""COMPUTED_VALUE"""),"https://drive.google.com/open?id=1dUwB1psh8RX_EA-earwMiG4BzZKRnzda, https://drive.google.com/open?id=1fgu4ZUQ6btt7WhC9t9LblVCzMkR_9u0-")</f>
        <v>https://drive.google.com/open?id=1dUwB1psh8RX_EA-earwMiG4BzZKRnzda, https://drive.google.com/open?id=1fgu4ZUQ6btt7WhC9t9LblVCzMkR_9u0-</v>
      </c>
    </row>
    <row r="31" customFormat="false" ht="14.25" hidden="false" customHeight="false" outlineLevel="0" collapsed="false">
      <c r="A31" s="18" t="str">
        <f aca="false">IFERROR(MID(D31,1,FIND("|",D31)-1)&amp;"-"&amp;C31,"")</f>
        <v>AICI201901-5-2-1</v>
      </c>
      <c r="B31" s="19" t="n">
        <f aca="false">IFERROR(__xludf.dummyfunction("""COMPUTED_VALUE"""),43741)</f>
        <v>43741</v>
      </c>
      <c r="C31" s="0" t="n">
        <f aca="false">IFERROR(__xludf.dummyfunction("""COMPUTED_VALUE"""),1)</f>
        <v>1</v>
      </c>
      <c r="D31" s="0" t="str">
        <f aca="false">IFERROR(__xludf.dummyfunction("""COMPUTED_VALUE"""),"AICI201901-5-2| Socializar a todo el grupo de medicos Especialistas que responden interconsultas en los servicios de urgencias su obligacion de informmar al personal de urgencias cuales son las desiciones y planes de manejo a seguir con los pacientes inte"&amp;"rconsultados para garantizar la continuidad de los servicios y tratamientos uno de los atributos de la calidad de la atencion - (15/05/2019 - 31/07/2019)")</f>
        <v>AICI201901-5-2| Socializar a todo el grupo de medicos Especialistas que responden interconsultas en los servicios de urgencias su obligacion de informmar al personal de urgencias cuales son las desiciones y planes de manejo a seguir con los pacientes interconsultados para garantizar la continuidad de los servicios y tratamientos uno de los atributos de la calidad de la atencion - (15/05/2019 - 31/07/2019)</v>
      </c>
      <c r="E31" s="0" t="str">
        <f aca="false">IFERROR(__xludf.dummyfunction("""COMPUTED_VALUE"""),"Se elaboró por parte del Director de urgencias el memorando 011 sobre""Directrices para el cumplimiento obligatorio sobre la información y revisión de la respuesta a interconsultas en los servicios de urgencias, y va dirigido a Directores, líderes, médico"&amp;"s generales y especialistas, el memorando  se envió el 18 de septiembre a los líderes del servicio de urgencias, así como a los Directores de servicios y a la Subgerencia de Prestación de Servicios de Salud. Los líderes procedieron a realizar la socializa"&amp;"ción por correo, y se anexan los soportes de los correos enviados.  se evidencian soportes de la socializacion realizada  por parte de urgencias. pendientes soportes de hospitalizacion y ambulatorios")</f>
        <v>Se elaboró por parte del Director de urgencias el memorando 011 sobre"Directrices para el cumplimiento obligatorio sobre la información y revisión de la respuesta a interconsultas en los servicios de urgencias, y va dirigido a Directores, líderes, médicos generales y especialistas, el memorando  se envió el 18 de septiembre a los líderes del servicio de urgencias, así como a los Directores de servicios y a la Subgerencia de Prestación de Servicios de Salud. Los líderes procedieron a realizar la socialización por correo, y se anexan los soportes de los correos enviados.  se evidencian soportes de la socializacion realizada  por parte de urgencias. pendientes soportes de hospitalizacion y ambulatorios</v>
      </c>
      <c r="F31" s="0" t="str">
        <f aca="false">IFERROR(__xludf.dummyfunction("""COMPUTED_VALUE"""),"Atrasado")</f>
        <v>Atrasado</v>
      </c>
      <c r="G31" s="0" t="str">
        <f aca="false">IFERROR(__xludf.dummyfunction("""COMPUTED_VALUE"""),"https://drive.google.com/open?id=1uDS7AWatV13f4nmIitUXWSi9jQqloWoo, https://drive.google.com/open?id=1Xo_Cby7f_RSsYqtsk4s7wFcGu-Sawg7v, https://drive.google.com/open?id=1-I9zqPCrJ5FdHemz0TqltI3chQVBAi_T, https://drive.google.com/open?id=1LKUF_2GAO50GeEOz6"&amp;"AhA0RGMOEfMxYUh")</f>
        <v>https://drive.google.com/open?id=1uDS7AWatV13f4nmIitUXWSi9jQqloWoo, https://drive.google.com/open?id=1Xo_Cby7f_RSsYqtsk4s7wFcGu-Sawg7v, https://drive.google.com/open?id=1-I9zqPCrJ5FdHemz0TqltI3chQVBAi_T, https://drive.google.com/open?id=1LKUF_2GAO50GeEOz6AhA0RGMOEfMxYUh</v>
      </c>
    </row>
    <row r="32" customFormat="false" ht="14.25" hidden="false" customHeight="false" outlineLevel="0" collapsed="false">
      <c r="A32" s="18" t="str">
        <f aca="false">IFERROR(MID(D32,1,FIND("|",D32)-1)&amp;"-"&amp;C32,"")</f>
        <v>AICI201901-5-3-1</v>
      </c>
      <c r="B32" s="19" t="n">
        <f aca="false">IFERROR(__xludf.dummyfunction("""COMPUTED_VALUE"""),43741)</f>
        <v>43741</v>
      </c>
      <c r="C32" s="0" t="n">
        <f aca="false">IFERROR(__xludf.dummyfunction("""COMPUTED_VALUE"""),1)</f>
        <v>1</v>
      </c>
      <c r="D32" s="0" t="str">
        <f aca="false">IFERROR(__xludf.dummyfunction("""COMPUTED_VALUE"""),"AICI201901-5-3| Socializar al 100% de los Medicos generales y Especialistas que estan involucrados en la generacion y respuesta de interconsultas el instructivo de solicitud de interconsulta MI-GH-I-2204 - (15/05/2019 - 31/07/2019)")</f>
        <v>AICI201901-5-3| Socializar al 100% de los Medicos generales y Especialistas que estan involucrados en la generacion y respuesta de interconsultas el instructivo de solicitud de interconsulta MI-GH-I-2204 - (15/05/2019 - 31/07/2019)</v>
      </c>
      <c r="E32" s="0" t="str">
        <f aca="false">IFERROR(__xludf.dummyfunction("""COMPUTED_VALUE"""),"Se realizó socialización del documento MI-GH-I-22-04 Solicitud de Interconsultas, Los líderes procedieron a realizar la socialización por correo, y se anexan los soportes de los correos enviados.  Se anexan soportes. ")</f>
        <v>Se realizó socialización del documento MI-GH-I-22-04 Solicitud de Interconsultas, Los líderes procedieron a realizar la socialización por correo, y se anexan los soportes de los correos enviados.  Se anexan soportes. </v>
      </c>
      <c r="F32" s="0" t="str">
        <f aca="false">IFERROR(__xludf.dummyfunction("""COMPUTED_VALUE"""),"Completo")</f>
        <v>Completo</v>
      </c>
      <c r="G32" s="0" t="str">
        <f aca="false">IFERROR(__xludf.dummyfunction("""COMPUTED_VALUE"""),"https://drive.google.com/open?id=16yOOQIdyl0M1RIO00xvP5Dl0PBRhsW5a, https://drive.google.com/open?id=1a9JkTSKdvH8b9ZzUs7aIGLuWBy2Q4Vw2, https://drive.google.com/open?id=1uaG7ls57QxJl9rmGus9iNsHMYkTeZnpP, https://drive.google.com/open?id=1khzUcg-aSZFAiMsAV"&amp;"JiKxM3wT30w4unu")</f>
        <v>https://drive.google.com/open?id=16yOOQIdyl0M1RIO00xvP5Dl0PBRhsW5a, https://drive.google.com/open?id=1a9JkTSKdvH8b9ZzUs7aIGLuWBy2Q4Vw2, https://drive.google.com/open?id=1uaG7ls57QxJl9rmGus9iNsHMYkTeZnpP, https://drive.google.com/open?id=1khzUcg-aSZFAiMsAVJiKxM3wT30w4unu</v>
      </c>
    </row>
    <row r="33" customFormat="false" ht="14.25" hidden="false" customHeight="false" outlineLevel="0" collapsed="false">
      <c r="A33" s="18" t="str">
        <f aca="false">IFERROR(MID(D33,1,FIND("|",D33)-1)&amp;"-"&amp;C33,"")</f>
        <v>AICI201901-5-4-1</v>
      </c>
      <c r="B33" s="19" t="n">
        <f aca="false">IFERROR(__xludf.dummyfunction("""COMPUTED_VALUE"""),43741)</f>
        <v>43741</v>
      </c>
      <c r="C33" s="0" t="n">
        <f aca="false">IFERROR(__xludf.dummyfunction("""COMPUTED_VALUE"""),1)</f>
        <v>1</v>
      </c>
      <c r="D33" s="0" t="str">
        <f aca="false">IFERROR(__xludf.dummyfunction("""COMPUTED_VALUE"""),"AICI201901-5-4| Evaluar el conocimiento de lo establecido en el instructivo de solicitud de interconsulta MI-GH-I-2204 al 100% de los Medicos generales y Especialistas que estan involucrados en la generacion y respuesta de interconsultas el - (15/05/2019 "&amp;"- 31/07/2019)")</f>
        <v>AICI201901-5-4| Evaluar el conocimiento de lo establecido en el instructivo de solicitud de interconsulta MI-GH-I-2204 al 100% de los Medicos generales y Especialistas que estan involucrados en la generacion y respuesta de interconsultas el - (15/05/2019 - 31/07/2019)</v>
      </c>
      <c r="E33" s="0" t="str">
        <f aca="false">IFERROR(__xludf.dummyfunction("""COMPUTED_VALUE"""),"Por parte de urgencias.  Se realizó una evaluación de 5 preguntas para el instructivo  Solicitud de interconsulta  MI-GH-I-2204, y se obtuvo como calificación promedio en Simón 4.1, Suba 3.45, Calle 80 3.2 y Chapinero de 4.09, para un total de 3.71. se an"&amp;"exan soportes de consolidado de evaluaciones. Se verificaron evaluaciones.   Se verificaron soportes. Los soportes originales reposan en las oficinas de referentes de urgencias.  Se encuentran pendientes soportes de hospitalizacion y ambulatorios")</f>
        <v>Por parte de urgencias.  Se realizó una evaluación de 5 preguntas para el instructivo  Solicitud de interconsulta  MI-GH-I-2204, y se obtuvo como calificación promedio en Simón 4.1, Suba 3.45, Calle 80 3.2 y Chapinero de 4.09, para un total de 3.71. se anexan soportes de consolidado de evaluaciones. Se verificaron evaluaciones.   Se verificaron soportes. Los soportes originales reposan en las oficinas de referentes de urgencias.  Se encuentran pendientes soportes de hospitalizacion y ambulatorios</v>
      </c>
      <c r="F33" s="0" t="str">
        <f aca="false">IFERROR(__xludf.dummyfunction("""COMPUTED_VALUE"""),"Atrasado")</f>
        <v>Atrasado</v>
      </c>
      <c r="G33" s="0" t="str">
        <f aca="false">IFERROR(__xludf.dummyfunction("""COMPUTED_VALUE"""),"https://drive.google.com/open?id=1gYCEHEX18XJ_28XeRURCOPcQ6QivIFO4, https://drive.google.com/open?id=1WdCEkpw6EMHkh_PXi5UY_RwmU23KYC58, https://drive.google.com/open?id=1GjhO9bRshCSz4tLxEBdT2XyoRjGVYKTF, https://drive.google.com/open?id=1dk8B_w7ut6Lew1goB"&amp;"8MsUL53O_M4fhhD")</f>
        <v>https://drive.google.com/open?id=1gYCEHEX18XJ_28XeRURCOPcQ6QivIFO4, https://drive.google.com/open?id=1WdCEkpw6EMHkh_PXi5UY_RwmU23KYC58, https://drive.google.com/open?id=1GjhO9bRshCSz4tLxEBdT2XyoRjGVYKTF, https://drive.google.com/open?id=1dk8B_w7ut6Lew1goB8MsUL53O_M4fhhD</v>
      </c>
    </row>
    <row r="34" customFormat="false" ht="14.25" hidden="false" customHeight="false" outlineLevel="0" collapsed="false">
      <c r="A34" s="18" t="str">
        <f aca="false">IFERROR(MID(D34,1,FIND("|",D34)-1)&amp;"-"&amp;C34,"")</f>
        <v>AICI201901-6-1-1</v>
      </c>
      <c r="B34" s="19" t="n">
        <f aca="false">IFERROR(__xludf.dummyfunction("""COMPUTED_VALUE"""),43741)</f>
        <v>43741</v>
      </c>
      <c r="C34" s="0" t="n">
        <f aca="false">IFERROR(__xludf.dummyfunction("""COMPUTED_VALUE"""),1)</f>
        <v>1</v>
      </c>
      <c r="D34" s="0" t="str">
        <f aca="false">IFERROR(__xludf.dummyfunction("""COMPUTED_VALUE"""),"AICI201901-6-1| Diseñar instructivo que defina el paso a paso para el traslado de paciente entre servicios, sin que esto implique realizar un nuevo ingreso a urgencias la la USS a donde se remite - (15/05/2019 - 31/07/2019)")</f>
        <v>AICI201901-6-1| Diseñar instructivo que defina el paso a paso para el traslado de paciente entre servicios, sin que esto implique realizar un nuevo ingreso a urgencias la la USS a donde se remite - (15/05/2019 - 31/07/2019)</v>
      </c>
      <c r="E34" s="0" t="str">
        <f aca="false">IFERROR(__xludf.dummyfunction("""COMPUTED_VALUE"""),"Se realizó por parte del Director de urgencias y el gestor de la central de referencia el documento MI-GU-IU-14-01 Intsructivo para la realización de traslados secundarios, el cual fue publicado en la intranet el día 23 de septiembre.")</f>
        <v>Se realizó por parte del Director de urgencias y el gestor de la central de referencia el documento MI-GU-IU-14-01 Intsructivo para la realización de traslados secundarios, el cual fue publicado en la intranet el día 23 de septiembre.</v>
      </c>
      <c r="F34" s="0" t="str">
        <f aca="false">IFERROR(__xludf.dummyfunction("""COMPUTED_VALUE"""),"Completo")</f>
        <v>Completo</v>
      </c>
      <c r="G34" s="20" t="str">
        <f aca="false">IFERROR(__xludf.dummyfunction("""COMPUTED_VALUE"""),"https://drive.google.com/open?id=1E7iErIPo2Tl9zUfYGaVt2wq9Sdp5Zsa9")</f>
        <v>https://drive.google.com/open?id=1E7iErIPo2Tl9zUfYGaVt2wq9Sdp5Zsa9</v>
      </c>
    </row>
    <row r="35" customFormat="false" ht="14.25" hidden="false" customHeight="false" outlineLevel="0" collapsed="false">
      <c r="A35" s="18" t="str">
        <f aca="false">IFERROR(MID(D35,1,FIND("|",D35)-1)&amp;"-"&amp;C35,"")</f>
        <v>AICI201901-6-2-1</v>
      </c>
      <c r="B35" s="19" t="n">
        <f aca="false">IFERROR(__xludf.dummyfunction("""COMPUTED_VALUE"""),43741)</f>
        <v>43741</v>
      </c>
      <c r="C35" s="0" t="n">
        <f aca="false">IFERROR(__xludf.dummyfunction("""COMPUTED_VALUE"""),1)</f>
        <v>1</v>
      </c>
      <c r="D35" s="0" t="str">
        <f aca="false">IFERROR(__xludf.dummyfunction("""COMPUTED_VALUE"""),"AICI201901-6-2| Socializar instructivo que defina el paso a paso para el traslado de paciente entre servicios, sin que esto implique realizar un nuevo ingreso a urgencias la la USS a donde se remite - (31/07/2019 - 30/08/2019)")</f>
        <v>AICI201901-6-2| Socializar instructivo que defina el paso a paso para el traslado de paciente entre servicios, sin que esto implique realizar un nuevo ingreso a urgencias la la USS a donde se remite - (31/07/2019 - 30/08/2019)</v>
      </c>
      <c r="E35" s="0" t="str">
        <f aca="false">IFERROR(__xludf.dummyfunction("""COMPUTED_VALUE"""),"El documento MI-GU-IU-14-01 Intsructivo para la realización de traslados secundarios, fue publicado en la intranet el día 23 de septiembre. Se procedió  a socializar por medio de correo a los líderes del servicio de urgencias, así como a los Directores de"&amp;" servicios y a la Subgerencia de Prestación de Servicios de Salud. Los líderes procedieron a realizar la socialización por correo, y se anexan los soportes de los correos enviados. Y el gestor de referencia el día 26 de septiembre procedió a la socializac"&amp;"ión por correo a los Directores, líderes y personal de la central de referencia. se evidencian soportes de socialización ")</f>
        <v>El documento MI-GU-IU-14-01 Intsructivo para la realización de traslados secundarios, fue publicado en la intranet el día 23 de septiembre. Se procedió  a socializar por medio de correo a los líderes del servicio de urgencias, así como a los Directores de servicios y a la Subgerencia de Prestación de Servicios de Salud. Los líderes procedieron a realizar la socialización por correo, y se anexan los soportes de los correos enviados. Y el gestor de referencia el día 26 de septiembre procedió a la socialización por correo a los Directores, líderes y personal de la central de referencia. se evidencian soportes de socialización </v>
      </c>
      <c r="F35" s="0" t="str">
        <f aca="false">IFERROR(__xludf.dummyfunction("""COMPUTED_VALUE"""),"Completo")</f>
        <v>Completo</v>
      </c>
      <c r="G35" s="0" t="str">
        <f aca="false">IFERROR(__xludf.dummyfunction("""COMPUTED_VALUE"""),"https://drive.google.com/open?id=1re0L88H9EjwSAmkCjgwG1KnKeKuK7UtG, https://drive.google.com/open?id=1-jJM1eQP9hkOWujLgmmucXt_dd8bGgTa, https://drive.google.com/open?id=1qEd5u3ya24Rt2HXmANPaCrI9uPQJ8jWr")</f>
        <v>https://drive.google.com/open?id=1re0L88H9EjwSAmkCjgwG1KnKeKuK7UtG, https://drive.google.com/open?id=1-jJM1eQP9hkOWujLgmmucXt_dd8bGgTa, https://drive.google.com/open?id=1qEd5u3ya24Rt2HXmANPaCrI9uPQJ8jWr</v>
      </c>
    </row>
    <row r="36" customFormat="false" ht="14.25" hidden="false" customHeight="false" outlineLevel="0" collapsed="false">
      <c r="A36" s="18" t="str">
        <f aca="false">IFERROR(MID(D36,1,FIND("|",D36)-1)&amp;"-"&amp;C36,"")</f>
        <v>AICI201901-6-3-1</v>
      </c>
      <c r="B36" s="19" t="n">
        <f aca="false">IFERROR(__xludf.dummyfunction("""COMPUTED_VALUE"""),43741)</f>
        <v>43741</v>
      </c>
      <c r="C36" s="0" t="n">
        <f aca="false">IFERROR(__xludf.dummyfunction("""COMPUTED_VALUE"""),1)</f>
        <v>1</v>
      </c>
      <c r="D36" s="0" t="str">
        <f aca="false">IFERROR(__xludf.dummyfunction("""COMPUTED_VALUE"""),"AICI201901-6-3| Socializar al personal medico de Urgencias y hospitalizacion las diferentes tipologias que se pueden solicitar en una remision según la necesidad del paciente para que al diligenciar el formato aclaren que tipo de solicitud es la que se re"&amp;"quiere para el paciente. - (15/05/2019 - 31/07/2019)")</f>
        <v>AICI201901-6-3| Socializar al personal medico de Urgencias y hospitalizacion las diferentes tipologias que se pueden solicitar en una remision según la necesidad del paciente para que al diligenciar el formato aclaren que tipo de solicitud es la que se requiere para el paciente. - (15/05/2019 - 31/07/2019)</v>
      </c>
      <c r="E36" s="0" t="str">
        <f aca="false">IFERROR(__xludf.dummyfunction("""COMPUTED_VALUE"""),"El documento MI-GU-IU-14-01 Instructivo para la realización de traslados secundarios, fue publicado en la intranet el día 23 de septiembre. Se procedió  a socializar por medio de correo a los líderes del servicio de urgencias, así como a los Directores de"&amp;" servicios y a la Subgerencia de Prestación de Servicios de Salud. Los líderes procedieron a realizar la socialización por correo, y se anexan los soportes de los correos enviados. Y el gestor de referencia el día 26 de septiembre procedió a la socializac"&amp;"ión por correo a los Directores, líderes y personal de la central de referencia. se anexan soportes")</f>
        <v>El documento MI-GU-IU-14-01 Instructivo para la realización de traslados secundarios, fue publicado en la intranet el día 23 de septiembre. Se procedió  a socializar por medio de correo a los líderes del servicio de urgencias, así como a los Directores de servicios y a la Subgerencia de Prestación de Servicios de Salud. Los líderes procedieron a realizar la socialización por correo, y se anexan los soportes de los correos enviados. Y el gestor de referencia el día 26 de septiembre procedió a la socialización por correo a los Directores, líderes y personal de la central de referencia. se anexan soportes</v>
      </c>
      <c r="F36" s="0" t="str">
        <f aca="false">IFERROR(__xludf.dummyfunction("""COMPUTED_VALUE"""),"Completo")</f>
        <v>Completo</v>
      </c>
      <c r="G36" s="0" t="str">
        <f aca="false">IFERROR(__xludf.dummyfunction("""COMPUTED_VALUE"""),"https://drive.google.com/open?id=1GgYN9bk4s3Jbqr5ekwFZYbcws8ctZSlr, https://drive.google.com/open?id=1e9rtSqBVg88JkfV97OvclN4uvBFxidWo, https://drive.google.com/open?id=1nkJn1pETDfO8gk3CYUQ31kirSDCWOJWM")</f>
        <v>https://drive.google.com/open?id=1GgYN9bk4s3Jbqr5ekwFZYbcws8ctZSlr, https://drive.google.com/open?id=1e9rtSqBVg88JkfV97OvclN4uvBFxidWo, https://drive.google.com/open?id=1nkJn1pETDfO8gk3CYUQ31kirSDCWOJWM</v>
      </c>
    </row>
    <row r="37" customFormat="false" ht="14.25" hidden="false" customHeight="false" outlineLevel="0" collapsed="false">
      <c r="A37" s="18" t="str">
        <f aca="false">IFERROR(MID(D37,1,FIND("|",D37)-1)&amp;"-"&amp;C37,"")</f>
        <v>AICI201901-6-4-1</v>
      </c>
      <c r="B37" s="19" t="n">
        <f aca="false">IFERROR(__xludf.dummyfunction("""COMPUTED_VALUE"""),43741)</f>
        <v>43741</v>
      </c>
      <c r="C37" s="0" t="n">
        <f aca="false">IFERROR(__xludf.dummyfunction("""COMPUTED_VALUE"""),1)</f>
        <v>1</v>
      </c>
      <c r="D37" s="0" t="str">
        <f aca="false">IFERROR(__xludf.dummyfunction("""COMPUTED_VALUE"""),"AICI201901-6-4| Evaluar el conocimiento del personal medico de Urgencias y hospitalizacion sobre las diferentes tipologias que se pueden solicitar en una remision según la necesidad del paciente para que al diligenciar el formato aclaren que tipo de solic"&amp;"itud es la que se requiere para el paciente. - (31/07/2019 - 30/08/2019)")</f>
        <v>AICI201901-6-4| Evaluar el conocimiento del personal medico de Urgencias y hospitalizacion sobre las diferentes tipologias que se pueden solicitar en una remision según la necesidad del paciente para que al diligenciar el formato aclaren que tipo de solicitud es la que se requiere para el paciente. - (31/07/2019 - 30/08/2019)</v>
      </c>
      <c r="E37" s="0" t="str">
        <f aca="false">IFERROR(__xludf.dummyfunction("""COMPUTED_VALUE"""),"Se realizó cuestionario para medir la adherencia al documento MI-GU-IU-14-01 Instructivo para la realización de traslados secundarios y se envío el 1 de octubre para aplicarlos en las diferentes USS. ")</f>
        <v>Se realizó cuestionario para medir la adherencia al documento MI-GU-IU-14-01 Instructivo para la realización de traslados secundarios y se envío el 1 de octubre para aplicarlos en las diferentes USS. </v>
      </c>
      <c r="F37" s="0" t="str">
        <f aca="false">IFERROR(__xludf.dummyfunction("""COMPUTED_VALUE"""),"Atrasado")</f>
        <v>Atrasado</v>
      </c>
    </row>
    <row r="38" customFormat="false" ht="14.25" hidden="false" customHeight="false" outlineLevel="0" collapsed="false">
      <c r="A38" s="18" t="str">
        <f aca="false">IFERROR(MID(D38,1,FIND("|",D38)-1)&amp;"-"&amp;C38,"")</f>
        <v>AICI201901-6-5-1</v>
      </c>
      <c r="B38" s="19" t="n">
        <f aca="false">IFERROR(__xludf.dummyfunction("""COMPUTED_VALUE"""),43741)</f>
        <v>43741</v>
      </c>
      <c r="C38" s="0" t="n">
        <f aca="false">IFERROR(__xludf.dummyfunction("""COMPUTED_VALUE"""),1)</f>
        <v>1</v>
      </c>
      <c r="D38" s="0" t="str">
        <f aca="false">IFERROR(__xludf.dummyfunction("""COMPUTED_VALUE"""),"AICI201901-6-5| Socializar al 100% de los Medicos generales y Especialistas que estan involucrados en la generacion de referencia o contrareferencia lo establecido en el Manual de Referencia y Contrareferencia MI-SC-O-03-03 - (15/05/2019 - 31/12/2019)")</f>
        <v>AICI201901-6-5| Socializar al 100% de los Medicos generales y Especialistas que estan involucrados en la generacion de referencia o contrareferencia lo establecido en el Manual de Referencia y Contrareferencia MI-SC-O-03-03 - (15/05/2019 - 31/12/2019)</v>
      </c>
      <c r="E38" s="0" t="str">
        <f aca="false">IFERROR(__xludf.dummyfunction("""COMPUTED_VALUE"""),"Por parte de urgencias Se socializó por medio de correo a los líderes del servicio de urgencias, así como a los Directores de servicios y a la Subgerencia de Prestación de Servicios de Salud. Los líderes procedieron a realizar la socialización por correo,"&amp;" y se anexan los soportes de los correos enviados. Y el gestor de referencia  procedió a la socialización por correo a los Directores, líderes y personal de la central de referencia y se cuenta con acta de acto de entrega de documentos de la Dirección de "&amp;"Urgencias en CD del 25 de junio. pendientes soportes de la acción de hospitalización y ambulatorios.")</f>
        <v>Por parte de urgencias Se socializó por medio de correo a los líderes del servicio de urgencias, así como a los Directores de servicios y a la Subgerencia de Prestación de Servicios de Salud. Los líderes procedieron a realizar la socialización por correo, y se anexan los soportes de los correos enviados. Y el gestor de referencia  procedió a la socialización por correo a los Directores, líderes y personal de la central de referencia y se cuenta con acta de acto de entrega de documentos de la Dirección de Urgencias en CD del 25 de junio. pendientes soportes de la acción de hospitalización y ambulatorios.</v>
      </c>
      <c r="F38" s="0" t="str">
        <f aca="false">IFERROR(__xludf.dummyfunction("""COMPUTED_VALUE"""),"En desarrollo")</f>
        <v>En desarrollo</v>
      </c>
      <c r="G38" s="0" t="str">
        <f aca="false">IFERROR(__xludf.dummyfunction("""COMPUTED_VALUE"""),"https://drive.google.com/open?id=191vOnS8mxSf07W6mW8z1nQIXxWIaLYdD, https://drive.google.com/open?id=1H_z9dcvO2WkGI01FIs28JDC1epuxqoO7, https://drive.google.com/open?id=1-KtopqWvuB9cHaJauqvk64gjGmGAkzDD, https://drive.google.com/open?id=15ahEu7tpU1mKN9kmq"&amp;"Mu8UJPcWSu8dhVN, https://drive.google.com/open?id=1wPta6Ry5Ypf7Izp_zq4hmfEkmwQv32OW")</f>
        <v>https://drive.google.com/open?id=191vOnS8mxSf07W6mW8z1nQIXxWIaLYdD, https://drive.google.com/open?id=1H_z9dcvO2WkGI01FIs28JDC1epuxqoO7, https://drive.google.com/open?id=1-KtopqWvuB9cHaJauqvk64gjGmGAkzDD, https://drive.google.com/open?id=15ahEu7tpU1mKN9kmqMu8UJPcWSu8dhVN, https://drive.google.com/open?id=1wPta6Ry5Ypf7Izp_zq4hmfEkmwQv32OW</v>
      </c>
    </row>
    <row r="39" customFormat="false" ht="14.25" hidden="false" customHeight="false" outlineLevel="0" collapsed="false">
      <c r="A39" s="18" t="str">
        <f aca="false">IFERROR(MID(D39,1,FIND("|",D39)-1)&amp;"-"&amp;C39,"")</f>
        <v>AICI201901-7-1-1</v>
      </c>
      <c r="B39" s="19" t="n">
        <f aca="false">IFERROR(__xludf.dummyfunction("""COMPUTED_VALUE"""),43741)</f>
        <v>43741</v>
      </c>
      <c r="C39" s="0" t="n">
        <f aca="false">IFERROR(__xludf.dummyfunction("""COMPUTED_VALUE"""),1)</f>
        <v>1</v>
      </c>
      <c r="D39" s="0" t="str">
        <f aca="false">IFERROR(__xludf.dummyfunction("""COMPUTED_VALUE"""),"AICI201901-7-1| Diseñar instructivo que defina el paso a paso para el traslado de paciente entre servicios, sin que esto implique realizar un nuevo ingreso a urgencias la la USS a donde se remite - (15/05/2019 - 31/07/2019)")</f>
        <v>AICI201901-7-1| Diseñar instructivo que defina el paso a paso para el traslado de paciente entre servicios, sin que esto implique realizar un nuevo ingreso a urgencias la la USS a donde se remite - (15/05/2019 - 31/07/2019)</v>
      </c>
      <c r="E39" s="0" t="str">
        <f aca="false">IFERROR(__xludf.dummyfunction("""COMPUTED_VALUE"""),"Se realizó por parte del Director de urgencias y el gestor de la central de referencia el documento MI-GU-IU-14-01 Intsructivo para la realización de traslados secundarios, el cual fue publicado en la intranet el día 23 de septiembre.")</f>
        <v>Se realizó por parte del Director de urgencias y el gestor de la central de referencia el documento MI-GU-IU-14-01 Intsructivo para la realización de traslados secundarios, el cual fue publicado en la intranet el día 23 de septiembre.</v>
      </c>
      <c r="F39" s="0" t="str">
        <f aca="false">IFERROR(__xludf.dummyfunction("""COMPUTED_VALUE"""),"Completo")</f>
        <v>Completo</v>
      </c>
      <c r="G39" s="20" t="str">
        <f aca="false">IFERROR(__xludf.dummyfunction("""COMPUTED_VALUE"""),"https://drive.google.com/open?id=1bxSXp6tyY84bphyAtXPxIXdoEqXsjaJw")</f>
        <v>https://drive.google.com/open?id=1bxSXp6tyY84bphyAtXPxIXdoEqXsjaJw</v>
      </c>
    </row>
    <row r="40" customFormat="false" ht="53.25" hidden="false" customHeight="true" outlineLevel="0" collapsed="false">
      <c r="A40" s="18" t="str">
        <f aca="false">IFERROR(MID(D40,1,FIND("|",D40)-1)&amp;"-"&amp;C40,"")</f>
        <v>AICI201901-7-2-1</v>
      </c>
      <c r="B40" s="19" t="n">
        <f aca="false">IFERROR(__xludf.dummyfunction("""COMPUTED_VALUE"""),43741)</f>
        <v>43741</v>
      </c>
      <c r="C40" s="0" t="n">
        <f aca="false">IFERROR(__xludf.dummyfunction("""COMPUTED_VALUE"""),1)</f>
        <v>1</v>
      </c>
      <c r="D40" s="0" t="str">
        <f aca="false">IFERROR(__xludf.dummyfunction("""COMPUTED_VALUE"""),"AICI201901-7-2| Socializar instructivo que defina el paso a paso para el traslado de paciente entre servicios, sin que esto implique realizar un nuevo ingreso a urgencias la la USS a donde se remite - (31/07/2019 - 30/08/2019)")</f>
        <v>AICI201901-7-2| Socializar instructivo que defina el paso a paso para el traslado de paciente entre servicios, sin que esto implique realizar un nuevo ingreso a urgencias la la USS a donde se remite - (31/07/2019 - 30/08/2019)</v>
      </c>
      <c r="E40" s="0" t="str">
        <f aca="false">IFERROR(__xludf.dummyfunction("""COMPUTED_VALUE"""),"El documento MI-GU-IU-14-01 Intsructivo para la realización de traslados secundarios, fue publicado en la intranet el día 23 de septiembre. Se procedió  a socializar por medio de correo a los líderes del servicio de urgencias, así como a los Directores de"&amp;" servicios y a la Subgerencia de Prestación de Servicios de Salud. Los líderes procedieron a realizar la socialización por correo, y se anexan los soportes de los correos enviados. Y el gestor de referencia el día 26 de septiembre procedió a la socializac"&amp;"ión por correo a los Directores, líderes y personal de la central de referencia.")</f>
        <v>El documento MI-GU-IU-14-01 Intsructivo para la realización de traslados secundarios, fue publicado en la intranet el día 23 de septiembre. Se procedió  a socializar por medio de correo a los líderes del servicio de urgencias, así como a los Directores de servicios y a la Subgerencia de Prestación de Servicios de Salud. Los líderes procedieron a realizar la socialización por correo, y se anexan los soportes de los correos enviados. Y el gestor de referencia el día 26 de septiembre procedió a la socialización por correo a los Directores, líderes y personal de la central de referencia.</v>
      </c>
      <c r="F40" s="0" t="str">
        <f aca="false">IFERROR(__xludf.dummyfunction("""COMPUTED_VALUE"""),"Completo")</f>
        <v>Completo</v>
      </c>
      <c r="G40" s="0" t="str">
        <f aca="false">IFERROR(__xludf.dummyfunction("""COMPUTED_VALUE"""),"https://drive.google.com/open?id=13R9g2RwUhY0ZKiOix-8dlcKhZLdvppkm, https://drive.google.com/open?id=1xLO3MPntQlvcJVayiAZ27Blj_7biOh1_")</f>
        <v>https://drive.google.com/open?id=13R9g2RwUhY0ZKiOix-8dlcKhZLdvppkm, https://drive.google.com/open?id=1xLO3MPntQlvcJVayiAZ27Blj_7biOh1_</v>
      </c>
    </row>
    <row r="41" customFormat="false" ht="14.25" hidden="false" customHeight="false" outlineLevel="0" collapsed="false">
      <c r="A41" s="18" t="str">
        <f aca="false">IFERROR(MID(D41,1,FIND("|",D41)-1)&amp;"-"&amp;C41,"")</f>
        <v>AICI201901-8-1-1</v>
      </c>
      <c r="B41" s="19" t="n">
        <f aca="false">IFERROR(__xludf.dummyfunction("""COMPUTED_VALUE"""),43742)</f>
        <v>43742</v>
      </c>
      <c r="C41" s="0" t="n">
        <f aca="false">IFERROR(__xludf.dummyfunction("""COMPUTED_VALUE"""),1)</f>
        <v>1</v>
      </c>
      <c r="D41" s="0" t="str">
        <f aca="false">IFERROR(__xludf.dummyfunction("""COMPUTED_VALUE"""),"AICI201901-8-1| Fortalecer las estrategias de comunicacion de la central de referencia con los gestores hospitalarios para que el traslado de pacientes no criticos se de con la disponibilidad confirmada de camas - (15/05/2019 - 31/12/2019)")</f>
        <v>AICI201901-8-1| Fortalecer las estrategias de comunicacion de la central de referencia con los gestores hospitalarios para que el traslado de pacientes no criticos se de con la disponibilidad confirmada de camas - (15/05/2019 - 31/12/2019)</v>
      </c>
      <c r="E41" s="0" t="str">
        <f aca="false">IFERROR(__xludf.dummyfunction("""COMPUTED_VALUE"""),"Por direccionamiento de la Subgerencia de prestación de servicios y de la dirección de urgencias, el gestor de referencia y contrareferencia mantiene comunicación permanente con los  lideres de hospitalizan de  las UMHES para el seguimiento  a la aceptaci"&amp;"ón de pacientes en los diferentes servicios se cuenta con varios instrumentos como es el de reporte de disponibilidad de camas que entregan en las mañanas los supervisores nocturnos en donde se verifican la disponibilidad de camas para aceptación de pacie"&amp;"ntes y evitar que estos pacientes lleguen a urgencias, de igual forma solo se trasladan a urgencias aquellos pacientes que requieren un traslado de emergencia por su condición clínica. se anexan soporte de comunicaciones con referentes administrativos y n"&amp;"octurnos y relación de gestión de camas. Igualmente se mantiene comunicación para la aceptación y traslado de pacientes activo un grupo de whatsapp con los referentes de las diferentes especialidades, en el que se comentan casos y necesidades para el tras"&amp;"lado de pacientes entre los servicios o para la realización de apoyos diagnósticos de igual forma con el referente de la sede de chapinero para desescalonar los pacientes. se anexan pantallazos de reportes y comunicaciones.")</f>
        <v>Por direccionamiento de la Subgerencia de prestación de servicios y de la dirección de urgencias, el gestor de referencia y contrareferencia mantiene comunicación permanente con los  lideres de hospitalizan de  las UMHES para el seguimiento  a la aceptación de pacientes en los diferentes servicios se cuenta con varios instrumentos como es el de reporte de disponibilidad de camas que entregan en las mañanas los supervisores nocturnos en donde se verifican la disponibilidad de camas para aceptación de pacientes y evitar que estos pacientes lleguen a urgencias, de igual forma solo se trasladan a urgencias aquellos pacientes que requieren un traslado de emergencia por su condición clínica. se anexan soporte de comunicaciones con referentes administrativos y nocturnos y relación de gestión de camas. Igualmente se mantiene comunicación para la aceptación y traslado de pacientes activo un grupo de whatsapp con los referentes de las diferentes especialidades, en el que se comentan casos y necesidades para el traslado de pacientes entre los servicios o para la realización de apoyos diagnósticos de igual forma con el referente de la sede de chapinero para desescalonar los pacientes. se anexan pantallazos de reportes y comunicaciones.</v>
      </c>
      <c r="F41" s="0" t="str">
        <f aca="false">IFERROR(__xludf.dummyfunction("""COMPUTED_VALUE"""),"En desarrollo")</f>
        <v>En desarrollo</v>
      </c>
      <c r="G41" s="0" t="str">
        <f aca="false">IFERROR(__xludf.dummyfunction("""COMPUTED_VALUE"""),"https://drive.google.com/open?id=1MOQ-qtt0TYFjBvRsjdCmEC9p7U2AAi-h, https://drive.google.com/open?id=171Ox6MuxvKm5L-6qfBQKUkuCxT_GyE0f")</f>
        <v>https://drive.google.com/open?id=1MOQ-qtt0TYFjBvRsjdCmEC9p7U2AAi-h, https://drive.google.com/open?id=171Ox6MuxvKm5L-6qfBQKUkuCxT_GyE0f</v>
      </c>
    </row>
    <row r="42" customFormat="false" ht="14.25" hidden="false" customHeight="false" outlineLevel="0" collapsed="false">
      <c r="A42" s="18" t="str">
        <f aca="false">IFERROR(MID(D42,1,FIND("|",D42)-1)&amp;"-"&amp;C42,"")</f>
        <v>AICI201901-8-2-1</v>
      </c>
      <c r="B42" s="19" t="n">
        <f aca="false">IFERROR(__xludf.dummyfunction("""COMPUTED_VALUE"""),43742)</f>
        <v>43742</v>
      </c>
      <c r="C42" s="0" t="n">
        <f aca="false">IFERROR(__xludf.dummyfunction("""COMPUTED_VALUE"""),1)</f>
        <v>1</v>
      </c>
      <c r="D42" s="0" t="str">
        <f aca="false">IFERROR(__xludf.dummyfunction("""COMPUTED_VALUE"""),"AICI201901-8-2| Fortalecer las estrategias de comunicación de la central de referencia con los gestores de urgencias para que en casos de urgencias o emergencias los traslados entre sedes se notifiquepara una gestion mas agil de su atencion y no se prolog"&amp;"uen los tiempos de estancia en urgencias - (15/05/2019 - 31/12/2019)")</f>
        <v>AICI201901-8-2| Fortalecer las estrategias de comunicación de la central de referencia con los gestores de urgencias para que en casos de urgencias o emergencias los traslados entre sedes se notifiquepara una gestion mas agil de su atencion y no se prologuen los tiempos de estancia en urgencias - (15/05/2019 - 31/12/2019)</v>
      </c>
      <c r="E42" s="0" t="str">
        <f aca="false">IFERROR(__xludf.dummyfunction("""COMPUTED_VALUE"""),"El equipo de la Dirección de urgencias definió como estrategia de comunicación para la aceptación y traslado de pacientes activo un grupo de whatsapp en el que se comentan casos y necesidades para el traslado de pacientes entre los servicios o para la rea"&amp;"lización de apoyos diagnósticos de igual forma con el referente de la sede de chapinero para desescalonar los pacientes. se anexa como soporte de esto ejemplo de las comunicaciones realizadas por wsp con los referentes de cada especialidades para gestiona"&amp;"r temas de traslado entre sedes. ")</f>
        <v>El equipo de la Dirección de urgencias definió como estrategia de comunicación para la aceptación y traslado de pacientes activo un grupo de whatsapp en el que se comentan casos y necesidades para el traslado de pacientes entre los servicios o para la realización de apoyos diagnósticos de igual forma con el referente de la sede de chapinero para desescalonar los pacientes. se anexa como soporte de esto ejemplo de las comunicaciones realizadas por wsp con los referentes de cada especialidades para gestionar temas de traslado entre sedes. </v>
      </c>
      <c r="F42" s="0" t="str">
        <f aca="false">IFERROR(__xludf.dummyfunction("""COMPUTED_VALUE"""),"En desarrollo")</f>
        <v>En desarrollo</v>
      </c>
      <c r="G42" s="20" t="str">
        <f aca="false">IFERROR(__xludf.dummyfunction("""COMPUTED_VALUE"""),"https://drive.google.com/open?id=1AADAxKa7cHLOnvB1z_Y75nE1ViDLKmtl")</f>
        <v>https://drive.google.com/open?id=1AADAxKa7cHLOnvB1z_Y75nE1ViDLKmtl</v>
      </c>
    </row>
    <row r="43" customFormat="false" ht="14.25" hidden="false" customHeight="false" outlineLevel="0" collapsed="false">
      <c r="A43" s="18" t="str">
        <f aca="false">IFERROR(MID(D43,1,FIND("|",D43)-1)&amp;"-"&amp;C43,"")</f>
        <v>AICI201901-9-1-1</v>
      </c>
      <c r="B43" s="19" t="n">
        <f aca="false">IFERROR(__xludf.dummyfunction("""COMPUTED_VALUE"""),43742)</f>
        <v>43742</v>
      </c>
      <c r="C43" s="0" t="n">
        <f aca="false">IFERROR(__xludf.dummyfunction("""COMPUTED_VALUE"""),1)</f>
        <v>1</v>
      </c>
      <c r="D43" s="0" t="str">
        <f aca="false">IFERROR(__xludf.dummyfunction("""COMPUTED_VALUE"""),"AICI201901-9-1| Establecer la realizacion de Rondas Admnistrativo/asistenciales de las Direcciones Hospitalizacion y Urgencias (Incluye Directores, Lideres y Gestores) con el objetivo de dinamizar el proceso de egreso de pacientes en las camas de monitore"&amp;"o continuo - (15/05/2019 - 31/12/2019)")</f>
        <v>AICI201901-9-1| Establecer la realizacion de Rondas Admnistrativo/asistenciales de las Direcciones Hospitalizacion y Urgencias (Incluye Directores, Lideres y Gestores) con el objetivo de dinamizar el proceso de egreso de pacientes en las camas de monitoreo continuo - (15/05/2019 - 31/12/2019)</v>
      </c>
      <c r="E43" s="0" t="str">
        <f aca="false">IFERROR(__xludf.dummyfunction("""COMPUTED_VALUE"""),"A partir del 15 de agosto ingresaron urgenciólogos a los servicios de urgencias de las UMHES y ellos tomaron las camas de monitoreo a cargo, por lo tanto estas camas son incluidas en la ronda asistencial y administrativa y se gestiona traslado acorde a la"&amp;" condición del paciente, dicha gestión queda consignada en la revista médica del urgenciólogo  y desde allí se dinamiza el proceso de egreso o de traslado a otros servicios cuando se estime conveniente.    Se anexan soportes de revista médica")</f>
        <v>A partir del 15 de agosto ingresaron urgenciólogos a los servicios de urgencias de las UMHES y ellos tomaron las camas de monitoreo a cargo, por lo tanto estas camas son incluidas en la ronda asistencial y administrativa y se gestiona traslado acorde a la condición del paciente, dicha gestión queda consignada en la revista médica del urgenciólogo  y desde allí se dinamiza el proceso de egreso o de traslado a otros servicios cuando se estime conveniente.    Se anexan soportes de revista médica</v>
      </c>
      <c r="F43" s="0" t="str">
        <f aca="false">IFERROR(__xludf.dummyfunction("""COMPUTED_VALUE"""),"En desarrollo")</f>
        <v>En desarrollo</v>
      </c>
      <c r="G43" s="20" t="str">
        <f aca="false">IFERROR(__xludf.dummyfunction("""COMPUTED_VALUE"""),"https://drive.google.com/open?id=1tzObtzSdTgiv12aiEvxf_j-ziyV4nbNd")</f>
        <v>https://drive.google.com/open?id=1tzObtzSdTgiv12aiEvxf_j-ziyV4nbNd</v>
      </c>
    </row>
    <row r="44" customFormat="false" ht="14.25" hidden="false" customHeight="false" outlineLevel="0" collapsed="false">
      <c r="A44" s="18" t="str">
        <f aca="false">IFERROR(MID(D44,1,FIND("|",D44)-1)&amp;"-"&amp;C44,"")</f>
        <v>AICI201901-9-2-1</v>
      </c>
      <c r="B44" s="19" t="n">
        <f aca="false">IFERROR(__xludf.dummyfunction("""COMPUTED_VALUE"""),43742)</f>
        <v>43742</v>
      </c>
      <c r="C44" s="0" t="n">
        <f aca="false">IFERROR(__xludf.dummyfunction("""COMPUTED_VALUE"""),1)</f>
        <v>1</v>
      </c>
      <c r="D44" s="0" t="str">
        <f aca="false">IFERROR(__xludf.dummyfunction("""COMPUTED_VALUE"""),"AICI201901-9-2| Fortalecer la gestion de camas hospitalarias para priorizar los egresos de UCI a piso hospitalario como estrategia apra mover los pacientes que se encuentren en las areas de monitoreo continuo - (15/05/2019 - 31/12/2019)")</f>
        <v>AICI201901-9-2| Fortalecer la gestion de camas hospitalarias para priorizar los egresos de UCI a piso hospitalario como estrategia apra mover los pacientes que se encuentren en las areas de monitoreo continuo - (15/05/2019 - 31/12/2019)</v>
      </c>
      <c r="E44" s="0" t="str">
        <f aca="false">IFERROR(__xludf.dummyfunction("""COMPUTED_VALUE"""),"Esta actividad corresponde al gestor de UCI y a los lideres de hospitalizacion la Direccion de Hospitalizacion definio unos criterios de priorizacion para la asignacion de camas en que las camas de UCI tiene la prioridad. No se enviaron soportes")</f>
        <v>Esta actividad corresponde al gestor de UCI y a los lideres de hospitalizacion la Direccion de Hospitalizacion definio unos criterios de priorizacion para la asignacion de camas en que las camas de UCI tiene la prioridad. No se enviaron soportes</v>
      </c>
      <c r="F44" s="0" t="str">
        <f aca="false">IFERROR(__xludf.dummyfunction("""COMPUTED_VALUE"""),"En desarrollo")</f>
        <v>En desarrollo</v>
      </c>
    </row>
    <row r="45" customFormat="false" ht="14.25" hidden="false" customHeight="false" outlineLevel="0" collapsed="false">
      <c r="A45" s="18" t="str">
        <f aca="false">IFERROR(MID(D45,1,FIND("|",D45)-1)&amp;"-"&amp;C45,"")</f>
        <v>AICI201901-1-1-2</v>
      </c>
      <c r="B45" s="19" t="n">
        <f aca="false">IFERROR(__xludf.dummyfunction("""COMPUTED_VALUE"""),43867)</f>
        <v>43867</v>
      </c>
      <c r="C45" s="0" t="n">
        <f aca="false">IFERROR(__xludf.dummyfunction("""COMPUTED_VALUE"""),2)</f>
        <v>2</v>
      </c>
      <c r="D45" s="0" t="str">
        <f aca="false">IFERROR(__xludf.dummyfunction("""COMPUTED_VALUE"""),"AICI201901-1-1| Medir de forma mensual la oportunidad de revaloracion de los pacientes de urgencias para alcanzar una meta de tiempo menor o igual a 6 hrs para la definicion de conducta por medicina general (paso a especialidad o egreso) - (15/05/2019 - 3"&amp;"1/12/2019)")</f>
        <v>AICI201901-1-1| Medir de forma mensual la oportunidad de revaloracion de los pacientes de urgencias para alcanzar una meta de tiempo menor o igual a 6 hrs para la definicion de conducta por medicina general (paso a especialidad o egreso) - (15/05/2019 - 31/12/2019)</v>
      </c>
      <c r="E45" s="0" t="str">
        <f aca="false">IFERROR(__xludf.dummyfunction("""COMPUTED_VALUE"""),"Se evidencian soportes de las mediciones de tiempos de revaloración de pacientes realizadas en todas las sedes que ofertan servicios de urgencias, para los meses de noviembre y diciembre de 2019, ficha del indicador con análisis e informe con conclusiones"&amp;" de las mediciones, las cuales se mantuvieron en un promedio de 182.19 para la vigencia.  se anexan archivos soporte.")</f>
        <v>Se evidencian soportes de las mediciones de tiempos de revaloración de pacientes realizadas en todas las sedes que ofertan servicios de urgencias, para los meses de noviembre y diciembre de 2019, ficha del indicador con análisis e informe con conclusiones de las mediciones, las cuales se mantuvieron en un promedio de 182.19 para la vigencia.  se anexan archivos soporte.</v>
      </c>
      <c r="F45" s="0" t="str">
        <f aca="false">IFERROR(__xludf.dummyfunction("""COMPUTED_VALUE"""),"Completo")</f>
        <v>Completo</v>
      </c>
      <c r="G45" s="0" t="str">
        <f aca="false">IFERROR(__xludf.dummyfunction("""COMPUTED_VALUE"""),"https://drive.google.com/open?id=1v1xf1WmrxuVuXSi7jjQp6Ijcisj9BeuC, https://drive.google.com/open?id=1_dmNXnVZQ3CehiUwr9QuOWjrcEu_dk47")</f>
        <v>https://drive.google.com/open?id=1v1xf1WmrxuVuXSi7jjQp6Ijcisj9BeuC, https://drive.google.com/open?id=1_dmNXnVZQ3CehiUwr9QuOWjrcEu_dk47</v>
      </c>
    </row>
    <row r="46" customFormat="false" ht="14.25" hidden="false" customHeight="false" outlineLevel="0" collapsed="false">
      <c r="A46" s="18" t="str">
        <f aca="false">IFERROR(MID(D46,1,FIND("|",D46)-1)&amp;"-"&amp;C46,"")</f>
        <v>AICI201901-1-3-2</v>
      </c>
      <c r="B46" s="19" t="n">
        <f aca="false">IFERROR(__xludf.dummyfunction("""COMPUTED_VALUE"""),43871)</f>
        <v>43871</v>
      </c>
      <c r="C46" s="0" t="n">
        <f aca="false">IFERROR(__xludf.dummyfunction("""COMPUTED_VALUE"""),2)</f>
        <v>2</v>
      </c>
      <c r="D46" s="0" t="str">
        <f aca="false">IFERROR(__xludf.dummyfunction("""COMPUTED_VALUE"""),"AICI201901-1-3| Estandarizar tiempos de entrega de resultados en laboratorio clinico y para la toma de imagenes diagnosticas, realizar medicion de los mismos e implementar acciones en los momentos en que se presenten desviaciones - (15/05/2019 - 31/12/201"&amp;"9)")</f>
        <v>AICI201901-1-3| Estandarizar tiempos de entrega de resultados en laboratorio clinico y para la toma de imagenes diagnosticas, realizar medicion de los mismos e implementar acciones en los momentos en que se presenten desviaciones - (15/05/2019 - 31/12/2019)</v>
      </c>
      <c r="E46" s="0" t="str">
        <f aca="false">IFERROR(__xludf.dummyfunction("""COMPUTED_VALUE"""),"Se observan soportes de mediciones realizadas y estandarización de tiempos de imagenología: 3.1.2. Imagenes Diganosticas.  EL proceso de imagenes diagnosticas dispone de dos formas de realizar este seguimiento a la oportunidad:
Trazabilidad de atención de"&amp;"sde la orden – Meta: 2 horas
Mayo:  2.18 horas
Junio: 1.8 horas
Julio: 2.4 horas
Agosto: 1.6 horas
Septiembre: 1.58 horas
Octubre: 1.22 horas
Noviembre: 2 horas
Diciembre: 1.22 horas
La mayoria de  este al tiempo corresponde al transcurrido desde la emisi"&amp;"on la orden a la llegada de la orden al servicio tiempo que depende del proceso de gestion de enfermeria y camilleros; el tiempo restante corresponde al tiempo de atención una vez ingresa la orden al servicio de imagenes diagnosticas. no se requiere por a"&amp;"hora acción. dado que al finalizar el trimestre , la medición se encuentra en los tiempos estandarizados. 
Laboratorio:
3.1.1 Laboratorio Clinico
El proceso de Laboratorio Clinico realizó seguimiento a la oportunidad a la emision  resultado: 
Oportunidad "&amp;"(resultado) Laboratorio Urgencias – Meta: 44 min
Mayo: 45min
Junio: 42 min 
Julio: 44 min
Agosto: 47 min
Septiembre: 44 min
Octubre: 44 min
Noviembre 44 min
Diciembre 44min
esta dentro del estandar, no requiere acción de ajuste
")</f>
        <v>Se observan soportes de mediciones realizadas y estandarización de tiempos de imagenología: 3.1.2. Imagenes Diganosticas.  EL proceso de imagenes diagnosticas dispone de dos formas de realizar este seguimiento a la oportunidad:
Trazabilidad de atención desde la orden – Meta: 2 horas
Mayo:  2.18 horas
Junio: 1.8 horas
Julio: 2.4 horas
Agosto: 1.6 horas
Septiembre: 1.58 horas
Octubre: 1.22 horas
Noviembre: 2 horas
Diciembre: 1.22 horas
La mayoria de  este al tiempo corresponde al transcurrido desde la emision la orden a la llegada de la orden al servicio tiempo que depende del proceso de gestion de enfermeria y camilleros; el tiempo restante corresponde al tiempo de atención una vez ingresa la orden al servicio de imagenes diagnosticas. no se requiere por ahora acción. dado que al finalizar el trimestre , la medición se encuentra en los tiempos estandarizados. 
Laboratorio:
3.1.1 Laboratorio Clinico
El proceso de Laboratorio Clinico realizó seguimiento a la oportunidad a la emision  resultado: 
Oportunidad (resultado) Laboratorio Urgencias – Meta: 44 min
Mayo: 45min
Junio: 42 min 
Julio: 44 min
Agosto: 47 min
Septiembre: 44 min
Octubre: 44 min
Noviembre 44 min
Diciembre 44min
esta dentro del estandar, no requiere acción de ajuste
</v>
      </c>
      <c r="F46" s="0" t="str">
        <f aca="false">IFERROR(__xludf.dummyfunction("""COMPUTED_VALUE"""),"Completo")</f>
        <v>Completo</v>
      </c>
      <c r="G46" s="0" t="str">
        <f aca="false">IFERROR(__xludf.dummyfunction("""COMPUTED_VALUE"""),"https://drive.google.com/open?id=1Vmd3tAWEl4gRz-PNOX93zEYPmsuwyne-, https://drive.google.com/open?id=164tXwPsjRxY6b_6w6adojg7GCTLi99wc, https://drive.google.com/open?id=169MN-SyOZ3m5ChzVNH5IWt9x0ISVwncl, https://drive.google.com/open?id=1t_3kU8pJNnxfuK1aF"&amp;"77fwWGdgfrvDmti")</f>
        <v>https://drive.google.com/open?id=1Vmd3tAWEl4gRz-PNOX93zEYPmsuwyne-, https://drive.google.com/open?id=164tXwPsjRxY6b_6w6adojg7GCTLi99wc, https://drive.google.com/open?id=169MN-SyOZ3m5ChzVNH5IWt9x0ISVwncl, https://drive.google.com/open?id=1t_3kU8pJNnxfuK1aF77fwWGdgfrvDmti</v>
      </c>
    </row>
    <row r="47" customFormat="false" ht="14.25" hidden="false" customHeight="false" outlineLevel="0" collapsed="false">
      <c r="A47" s="18" t="str">
        <f aca="false">IFERROR(MID(D47,1,FIND("|",D47)-1)&amp;"-"&amp;C47,"")</f>
        <v>AICI201901-1-6-2</v>
      </c>
      <c r="B47" s="19" t="n">
        <f aca="false">IFERROR(__xludf.dummyfunction("""COMPUTED_VALUE"""),43867)</f>
        <v>43867</v>
      </c>
      <c r="C47" s="0" t="n">
        <f aca="false">IFERROR(__xludf.dummyfunction("""COMPUTED_VALUE"""),2)</f>
        <v>2</v>
      </c>
      <c r="D47" s="0" t="str">
        <f aca="false">IFERROR(__xludf.dummyfunction("""COMPUTED_VALUE"""),"AICI201901-1-6| Monitorear de forma mensual la oportunidad de traslado a la UMHES Simon Bolivar de los pacientes que requieren valoracion y manejo integral de Neurocirugia, para tomar acciones de mejora ante la meta establecida de menor o igual a 6 horas "&amp;"- (15/05/2019 - 31/12/2019)")</f>
        <v>AICI201901-1-6| Monitorear de forma mensual la oportunidad de traslado a la UMHES Simon Bolivar de los pacientes que requieren valoracion y manejo integral de Neurocirugia, para tomar acciones de mejora ante la meta establecida de menor o igual a 6 horas - (15/05/2019 - 31/12/2019)</v>
      </c>
      <c r="E47" s="0" t="str">
        <f aca="false">IFERROR(__xludf.dummyfunction("""COMPUTED_VALUE"""),"Se envío informe de oportunidad de traslado entre sedes, elaborado por el referente de referencia y contrarreferencia que no especifica la atención oportuna por neurocirugía")</f>
        <v>Se envío informe de oportunidad de traslado entre sedes, elaborado por el referente de referencia y contrarreferencia que no especifica la atención oportuna por neurocirugía</v>
      </c>
      <c r="F47" s="0" t="str">
        <f aca="false">IFERROR(__xludf.dummyfunction("""COMPUTED_VALUE"""),"Atrasado")</f>
        <v>Atrasado</v>
      </c>
    </row>
    <row r="48" customFormat="false" ht="14.25" hidden="false" customHeight="false" outlineLevel="0" collapsed="false">
      <c r="A48" s="18" t="str">
        <f aca="false">IFERROR(MID(D48,1,FIND("|",D48)-1)&amp;"-"&amp;C48,"")</f>
        <v>AICI201901-2-1-2</v>
      </c>
      <c r="B48" s="19" t="n">
        <f aca="false">IFERROR(__xludf.dummyfunction("""COMPUTED_VALUE"""),43867)</f>
        <v>43867</v>
      </c>
      <c r="C48" s="0" t="n">
        <f aca="false">IFERROR(__xludf.dummyfunction("""COMPUTED_VALUE"""),2)</f>
        <v>2</v>
      </c>
      <c r="D48" s="0" t="str">
        <f aca="false">IFERROR(__xludf.dummyfunction("""COMPUTED_VALUE"""),"AICI201901-2-1| Establecer la realizacion de Rondas Admnistrativo/asistenciales de las Direcciones Hospitalizacion y Urgencias (Incluye Directores, Lideres y Gestores) con el objetivo de identificar pacientes pendientes de programacion quirurgica, valorac"&amp;"ion por especialidades quirugicas y gestionar su programacion - (15/05/2019 - 31/12/2019)")</f>
        <v>AICI201901-2-1| Establecer la realizacion de Rondas Admnistrativo/asistenciales de las Direcciones Hospitalizacion y Urgencias (Incluye Directores, Lideres y Gestores) con el objetivo de identificar pacientes pendientes de programacion quirurgica, valoracion por especialidades quirugicas y gestionar su programacion - (15/05/2019 - 31/12/2019)</v>
      </c>
      <c r="E48" s="0" t="str">
        <f aca="false">IFERROR(__xludf.dummyfunction("""COMPUTED_VALUE"""),"Los soportes presentados, evidencian acciones de auditoría y gestión de estancia prolongadas solo hasta el mes de septiembre. En estas no se el director de proceso indica que por temas de costos, la auditoría y las acciones no se pudieron adelantar en oct"&amp;"ubre, noviembre y diciembre. Los soportes presentados de estos meses, solo dan cuenta del reporte de urgencias a hospitalización, pero no se evidencia la gestión realizada por hospitalización , respecto a la programación qx, valoración de especialidades, "&amp;"etc.")</f>
        <v>Los soportes presentados, evidencian acciones de auditoría y gestión de estancia prolongadas solo hasta el mes de septiembre. En estas no se el director de proceso indica que por temas de costos, la auditoría y las acciones no se pudieron adelantar en octubre, noviembre y diciembre. Los soportes presentados de estos meses, solo dan cuenta del reporte de urgencias a hospitalización, pero no se evidencia la gestión realizada por hospitalización , respecto a la programación qx, valoración de especialidades, etc.</v>
      </c>
      <c r="F48" s="0" t="str">
        <f aca="false">IFERROR(__xludf.dummyfunction("""COMPUTED_VALUE"""),"Atrasado")</f>
        <v>Atrasado</v>
      </c>
    </row>
    <row r="49" customFormat="false" ht="14.25" hidden="false" customHeight="false" outlineLevel="0" collapsed="false">
      <c r="A49" s="18" t="str">
        <f aca="false">IFERROR(MID(D49,1,FIND("|",D49)-1)&amp;"-"&amp;C49,"")</f>
        <v>AICI201901-2-10-2</v>
      </c>
      <c r="B49" s="19" t="n">
        <f aca="false">IFERROR(__xludf.dummyfunction("""COMPUTED_VALUE"""),43872)</f>
        <v>43872</v>
      </c>
      <c r="C49" s="0" t="n">
        <f aca="false">IFERROR(__xludf.dummyfunction("""COMPUTED_VALUE"""),2)</f>
        <v>2</v>
      </c>
      <c r="D49" s="0" t="str">
        <f aca="false">IFERROR(__xludf.dummyfunction("""COMPUTED_VALUE"""),"AICI201901-2-10| Priorizar el traslado de pacientes que requieran procedimientos intermedios entre las diferentes UMHES y CAPS como estrategia para dinamizar su realizacion a traves de el personal que coordina los despachos de las moviles de traslados sec"&amp;"undarios - (15/05/2019 - 31/12/2019)")</f>
        <v>AICI201901-2-10| Priorizar el traslado de pacientes que requieran procedimientos intermedios entre las diferentes UMHES y CAPS como estrategia para dinamizar su realizacion a traves de el personal que coordina los despachos de las moviles de traslados secundarios - (15/05/2019 - 31/12/2019)</v>
      </c>
      <c r="E49" s="0" t="str">
        <f aca="false">IFERROR(__xludf.dummyfunction("""COMPUTED_VALUE"""),"Se diseñaron e implementaron medidas con el área de referencia y contrarrefrencia para definir criterios para priorización de traslados de pacientes que requieren procedimientos.  Se presenta acta de reunión con equipo de referencia y contrarreferencia y "&amp;"el indicador de seguumiento de oportunidad de trslados secundarios, el cual establece las metas y permite observar el cumplimiento de las mismas. Se anexan soportes.")</f>
        <v>Se diseñaron e implementaron medidas con el área de referencia y contrarrefrencia para definir criterios para priorización de traslados de pacientes que requieren procedimientos.  Se presenta acta de reunión con equipo de referencia y contrarreferencia y el indicador de seguumiento de oportunidad de trslados secundarios, el cual establece las metas y permite observar el cumplimiento de las mismas. Se anexan soportes.</v>
      </c>
      <c r="F49" s="0" t="str">
        <f aca="false">IFERROR(__xludf.dummyfunction("""COMPUTED_VALUE"""),"Completo")</f>
        <v>Completo</v>
      </c>
      <c r="G49" s="0" t="str">
        <f aca="false">IFERROR(__xludf.dummyfunction("""COMPUTED_VALUE"""),"https://drive.google.com/open?id=18BJQcC-Npa6zf1hDfQ-OFVxPWksZ2ABp, https://drive.google.com/open?id=1u8fI2hqVSvgSwBRnc8VYx0BhQ-rAANis")</f>
        <v>https://drive.google.com/open?id=18BJQcC-Npa6zf1hDfQ-OFVxPWksZ2ABp, https://drive.google.com/open?id=1u8fI2hqVSvgSwBRnc8VYx0BhQ-rAANis</v>
      </c>
    </row>
    <row r="50" customFormat="false" ht="14.25" hidden="false" customHeight="false" outlineLevel="0" collapsed="false">
      <c r="A50" s="18" t="str">
        <f aca="false">IFERROR(MID(D50,1,FIND("|",D50)-1)&amp;"-"&amp;C50,"")</f>
        <v>AICI201901-2-11-2</v>
      </c>
      <c r="B50" s="19" t="n">
        <f aca="false">IFERROR(__xludf.dummyfunction("""COMPUTED_VALUE"""),43872)</f>
        <v>43872</v>
      </c>
      <c r="C50" s="0" t="n">
        <f aca="false">IFERROR(__xludf.dummyfunction("""COMPUTED_VALUE"""),2)</f>
        <v>2</v>
      </c>
      <c r="D50" s="0" t="str">
        <f aca="false">IFERROR(__xludf.dummyfunction("""COMPUTED_VALUE"""),"AICI201901-2-11| Socializar al 100% del personal de enfermeria los intructivos institucionales para la preparacion depacientes prequirugicos, examenes especiales que se tienen establecidos en la Subred Norte. - (15/06/2019 - 31/07/2019)")</f>
        <v>AICI201901-2-11| Socializar al 100% del personal de enfermeria los intructivos institucionales para la preparacion depacientes prequirugicos, examenes especiales que se tienen establecidos en la Subred Norte. - (15/06/2019 - 31/07/2019)</v>
      </c>
      <c r="E50" s="0" t="str">
        <f aca="false">IFERROR(__xludf.dummyfunction("""COMPUTED_VALUE"""),"acción completa desde seguimiento anterior")</f>
        <v>acción completa desde seguimiento anterior</v>
      </c>
      <c r="F50" s="0" t="str">
        <f aca="false">IFERROR(__xludf.dummyfunction("""COMPUTED_VALUE"""),"Completo")</f>
        <v>Completo</v>
      </c>
    </row>
    <row r="51" customFormat="false" ht="14.25" hidden="false" customHeight="false" outlineLevel="0" collapsed="false">
      <c r="A51" s="18" t="str">
        <f aca="false">IFERROR(MID(D51,1,FIND("|",D51)-1)&amp;"-"&amp;C51,"")</f>
        <v>AICI201901-2-12-2</v>
      </c>
      <c r="B51" s="19" t="n">
        <f aca="false">IFERROR(__xludf.dummyfunction("""COMPUTED_VALUE"""),43872)</f>
        <v>43872</v>
      </c>
      <c r="C51" s="0" t="n">
        <f aca="false">IFERROR(__xludf.dummyfunction("""COMPUTED_VALUE"""),2)</f>
        <v>2</v>
      </c>
      <c r="D51" s="0" t="str">
        <f aca="false">IFERROR(__xludf.dummyfunction("""COMPUTED_VALUE"""),"AICI201901-2-12| Evaluar el conocimiento y aplicación de los intructivos institucionales para la preparacion depacientes prequirugicos, examenes especiales que se tienen establecidos en la Subred Norte. A traves de la realizacion de pre test y postest en "&amp;"el momento de la socializacion - (15/06/2019 - 31/07/2019)")</f>
        <v>AICI201901-2-12| Evaluar el conocimiento y aplicación de los intructivos institucionales para la preparacion depacientes prequirugicos, examenes especiales que se tienen establecidos en la Subred Norte. A traves de la realizacion de pre test y postest en el momento de la socializacion - (15/06/2019 - 31/07/2019)</v>
      </c>
      <c r="E51" s="0" t="str">
        <f aca="false">IFERROR(__xludf.dummyfunction("""COMPUTED_VALUE"""),"Se evidencian soportes de evaluaciones realizadas a personal de enfermeria de los diferentes puntos de urgencias de la subred Norte.   se anexa consolidado de calificación porque los demás soportes son muy pesados. originales reposan en la coordinación de"&amp;" urgencias de cada sedes")</f>
        <v>Se evidencian soportes de evaluaciones realizadas a personal de enfermeria de los diferentes puntos de urgencias de la subred Norte.   se anexa consolidado de calificación porque los demás soportes son muy pesados. originales reposan en la coordinación de urgencias de cada sedes</v>
      </c>
      <c r="F51" s="0" t="str">
        <f aca="false">IFERROR(__xludf.dummyfunction("""COMPUTED_VALUE"""),"Completo")</f>
        <v>Completo</v>
      </c>
      <c r="G51" s="0" t="str">
        <f aca="false">IFERROR(__xludf.dummyfunction("""COMPUTED_VALUE"""),"https://drive.google.com/open?id=1AHy2W5KlyiIn5tQF7HyAbQE66iTWmbv9, https://drive.google.com/open?id=1x8AYFT02eL_awCg1hj8uZg8joIKKGFeV")</f>
        <v>https://drive.google.com/open?id=1AHy2W5KlyiIn5tQF7HyAbQE66iTWmbv9, https://drive.google.com/open?id=1x8AYFT02eL_awCg1hj8uZg8joIKKGFeV</v>
      </c>
    </row>
    <row r="52" customFormat="false" ht="14.25" hidden="false" customHeight="false" outlineLevel="0" collapsed="false">
      <c r="A52" s="18" t="str">
        <f aca="false">IFERROR(MID(D52,1,FIND("|",D52)-1)&amp;"-"&amp;C52,"")</f>
        <v>AICI201901-2-13-2</v>
      </c>
      <c r="B52" s="19" t="n">
        <f aca="false">IFERROR(__xludf.dummyfunction("""COMPUTED_VALUE"""),43872)</f>
        <v>43872</v>
      </c>
      <c r="C52" s="0" t="n">
        <f aca="false">IFERROR(__xludf.dummyfunction("""COMPUTED_VALUE"""),2)</f>
        <v>2</v>
      </c>
      <c r="D52" s="0" t="str">
        <f aca="false">IFERROR(__xludf.dummyfunction("""COMPUTED_VALUE"""),"AICI201901-2-13| Socializar al 100% de los medicos generales y especialistas de los servicios de urgencias, hospitalizacion y quirurgicos, los criterios de inclusion al programa PAD - (15/05/2019 - 31/07/2019)")</f>
        <v>AICI201901-2-13| Socializar al 100% de los medicos generales y especialistas de los servicios de urgencias, hospitalizacion y quirurgicos, los criterios de inclusion al programa PAD - (15/05/2019 - 31/07/2019)</v>
      </c>
      <c r="E52" s="0" t="str">
        <f aca="false">IFERROR(__xludf.dummyfunction("""COMPUTED_VALUE"""),"urgencias completo la acción desde seguimiento pasado. Hospitalización no presentó soportes de avance de la acción")</f>
        <v>urgencias completo la acción desde seguimiento pasado. Hospitalización no presentó soportes de avance de la acción</v>
      </c>
      <c r="F52" s="0" t="str">
        <f aca="false">IFERROR(__xludf.dummyfunction("""COMPUTED_VALUE"""),"Atrasado")</f>
        <v>Atrasado</v>
      </c>
    </row>
    <row r="53" customFormat="false" ht="14.25" hidden="false" customHeight="false" outlineLevel="0" collapsed="false">
      <c r="A53" s="18" t="str">
        <f aca="false">IFERROR(MID(D53,1,FIND("|",D53)-1)&amp;"-"&amp;C53,"")</f>
        <v>AICI201901-2-14-2</v>
      </c>
      <c r="B53" s="19" t="n">
        <f aca="false">IFERROR(__xludf.dummyfunction("""COMPUTED_VALUE"""),43871)</f>
        <v>43871</v>
      </c>
      <c r="C53" s="0" t="n">
        <f aca="false">IFERROR(__xludf.dummyfunction("""COMPUTED_VALUE"""),2)</f>
        <v>2</v>
      </c>
      <c r="D53" s="0" t="str">
        <f aca="false">IFERROR(__xludf.dummyfunction("""COMPUTED_VALUE"""),"AICI201901-2-14| Fortalecer la participacion de los equipos de PAD en las Rondas Admnistrativas/ asistenciales definidas para identificacion de pacientes en los servicios de Hositalizacion y Urgencias suceptibles de ingresar al programa. - (15/05/2019 - 3"&amp;"1/12/2019)")</f>
        <v>AICI201901-2-14| Fortalecer la participacion de los equipos de PAD en las Rondas Admnistrativas/ asistenciales definidas para identificacion de pacientes en los servicios de Hositalizacion y Urgencias suceptibles de ingresar al programa. - (15/05/2019 - 31/12/2019)</v>
      </c>
      <c r="E53" s="0" t="str">
        <f aca="false">IFERROR(__xludf.dummyfunction("""COMPUTED_VALUE"""),"Urgencias completó acción en seguimiento anterior.  Hospitalización y complementarios no presentaron soportes de avance de la acción.")</f>
        <v>Urgencias completó acción en seguimiento anterior.  Hospitalización y complementarios no presentaron soportes de avance de la acción.</v>
      </c>
      <c r="F53" s="0" t="str">
        <f aca="false">IFERROR(__xludf.dummyfunction("""COMPUTED_VALUE"""),"Atrasado")</f>
        <v>Atrasado</v>
      </c>
    </row>
    <row r="54" customFormat="false" ht="14.25" hidden="false" customHeight="false" outlineLevel="0" collapsed="false">
      <c r="A54" s="18" t="str">
        <f aca="false">IFERROR(MID(D54,1,FIND("|",D54)-1)&amp;"-"&amp;C54,"")</f>
        <v>AICI201901-2-2-2</v>
      </c>
      <c r="B54" s="19" t="n">
        <f aca="false">IFERROR(__xludf.dummyfunction("""COMPUTED_VALUE"""),43867)</f>
        <v>43867</v>
      </c>
      <c r="C54" s="0" t="n">
        <f aca="false">IFERROR(__xludf.dummyfunction("""COMPUTED_VALUE"""),2)</f>
        <v>2</v>
      </c>
      <c r="D54" s="0" t="str">
        <f aca="false">IFERROR(__xludf.dummyfunction("""COMPUTED_VALUE"""),"AICI201901-2-2| Monitorizar la utilización efectiva de la capacidad instalada de salas de cirugía para tratar de optimizarla, a traves de la programación de jornadas quirúrgicas extras, para responder a la demanda, y trabajar en la priorización de pacient"&amp;"es a intervenir y diferir los menos urgentes a traves de PAD - (15/05/2019 - 31/12/2019)")</f>
        <v>AICI201901-2-2| Monitorizar la utilización efectiva de la capacidad instalada de salas de cirugía para tratar de optimizarla, a traves de la programación de jornadas quirúrgicas extras, para responder a la demanda, y trabajar en la priorización de pacientes a intervenir y diferir los menos urgentes a traves de PAD - (15/05/2019 - 31/12/2019)</v>
      </c>
      <c r="E54" s="0" t="str">
        <f aca="false">IFERROR(__xludf.dummyfunction("""COMPUTED_VALUE"""),"No se recibieron soportes de hospitalización, relacionados con esta esta accion ")</f>
        <v>No se recibieron soportes de hospitalización, relacionados con esta esta accion </v>
      </c>
      <c r="F54" s="0" t="str">
        <f aca="false">IFERROR(__xludf.dummyfunction("""COMPUTED_VALUE"""),"Atrasado")</f>
        <v>Atrasado</v>
      </c>
    </row>
    <row r="55" customFormat="false" ht="14.25" hidden="false" customHeight="false" outlineLevel="0" collapsed="false">
      <c r="A55" s="18" t="str">
        <f aca="false">IFERROR(MID(D55,1,FIND("|",D55)-1)&amp;"-"&amp;C55,"")</f>
        <v>AICI201901-2-3-2</v>
      </c>
      <c r="B55" s="19" t="n">
        <f aca="false">IFERROR(__xludf.dummyfunction("""COMPUTED_VALUE"""),43867)</f>
        <v>43867</v>
      </c>
      <c r="C55" s="0" t="n">
        <f aca="false">IFERROR(__xludf.dummyfunction("""COMPUTED_VALUE"""),2)</f>
        <v>2</v>
      </c>
      <c r="D55" s="0" t="str">
        <f aca="false">IFERROR(__xludf.dummyfunction("""COMPUTED_VALUE"""),"AICI201901-2-3| Establecer este ejercicio de forma periodica una vez por semana con directores y diario entre lideres y gestores con realizacion de actas de seguimiento al cumplimiento a esta estrategia - (15/05/2019 - 31/12/2019)")</f>
        <v>AICI201901-2-3| Establecer este ejercicio de forma periodica una vez por semana con directores y diario entre lideres y gestores con realizacion de actas de seguimiento al cumplimiento a esta estrategia - (15/05/2019 - 31/12/2019)</v>
      </c>
      <c r="E55" s="0" t="str">
        <f aca="false">IFERROR(__xludf.dummyfunction("""COMPUTED_VALUE"""),"No se recibieron soportes de esta acción por parte de hospitalización")</f>
        <v>No se recibieron soportes de esta acción por parte de hospitalización</v>
      </c>
      <c r="F55" s="0" t="str">
        <f aca="false">IFERROR(__xludf.dummyfunction("""COMPUTED_VALUE"""),"Atrasado")</f>
        <v>Atrasado</v>
      </c>
    </row>
    <row r="56" customFormat="false" ht="14.25" hidden="false" customHeight="false" outlineLevel="0" collapsed="false">
      <c r="A56" s="18" t="str">
        <f aca="false">IFERROR(MID(D56,1,FIND("|",D56)-1)&amp;"-"&amp;C56,"")</f>
        <v>AICI201901-2-4-2</v>
      </c>
      <c r="B56" s="19" t="n">
        <f aca="false">IFERROR(__xludf.dummyfunction("""COMPUTED_VALUE"""),43867)</f>
        <v>43867</v>
      </c>
      <c r="C56" s="0" t="n">
        <f aca="false">IFERROR(__xludf.dummyfunction("""COMPUTED_VALUE"""),2)</f>
        <v>2</v>
      </c>
      <c r="D56" s="0" t="str">
        <f aca="false">IFERROR(__xludf.dummyfunction("""COMPUTED_VALUE"""),"AICI201901-2-4| Establecer la realizacion de Rondas Admnistrativo /asistenciales de las Direcciones Hospitalizacion , Urgencias y las Oficinas de Admisiones y Prticipacion social y servicio al ciudadano. (Incluye Directores, Lideres y Gestores) con el obj"&amp;"etivo de dinamizar el proceso de egreso de pacientes - (15/05/2019 - 31/12/2019)")</f>
        <v>AICI201901-2-4| Establecer la realizacion de Rondas Admnistrativo /asistenciales de las Direcciones Hospitalizacion , Urgencias y las Oficinas de Admisiones y Prticipacion social y servicio al ciudadano. (Incluye Directores, Lideres y Gestores) con el objetivo de dinamizar el proceso de egreso de pacientes - (15/05/2019 - 31/12/2019)</v>
      </c>
      <c r="E56" s="0" t="str">
        <f aca="false">IFERROR(__xludf.dummyfunction("""COMPUTED_VALUE"""),"no se recibieron soportes de esta acción")</f>
        <v>no se recibieron soportes de esta acción</v>
      </c>
      <c r="F56" s="0" t="str">
        <f aca="false">IFERROR(__xludf.dummyfunction("""COMPUTED_VALUE"""),"Atrasado")</f>
        <v>Atrasado</v>
      </c>
    </row>
    <row r="57" customFormat="false" ht="14.25" hidden="false" customHeight="false" outlineLevel="0" collapsed="false">
      <c r="A57" s="18" t="str">
        <f aca="false">IFERROR(MID(D57,1,FIND("|",D57)-1)&amp;"-"&amp;C57,"")</f>
        <v>AICI201901-2-5-2</v>
      </c>
      <c r="B57" s="19" t="n">
        <f aca="false">IFERROR(__xludf.dummyfunction("""COMPUTED_VALUE"""),43871)</f>
        <v>43871</v>
      </c>
      <c r="C57" s="0" t="n">
        <f aca="false">IFERROR(__xludf.dummyfunction("""COMPUTED_VALUE"""),2)</f>
        <v>2</v>
      </c>
      <c r="D57" s="0" t="str">
        <f aca="false">IFERROR(__xludf.dummyfunction("""COMPUTED_VALUE"""),"AICI201901-2-5| Fortalecer con los profesionales especialistas y medicos genrales la canalizacion de usuarios al Programa de atencion domiciiaria (PAD) como estragia para el Egreso de pacientes de bajo riesgo o aquellos en lo que se puede generar alta tem"&amp;"prana segun los criterios de inclusion en el programa - (15/05/2019 - 31/12/2019)")</f>
        <v>AICI201901-2-5| Fortalecer con los profesionales especialistas y medicos genrales la canalizacion de usuarios al Programa de atencion domiciiaria (PAD) como estragia para el Egreso de pacientes de bajo riesgo o aquellos en lo que se puede generar alta temprana segun los criterios de inclusion en el programa - (15/05/2019 - 31/12/2019)</v>
      </c>
      <c r="E57" s="0" t="str">
        <f aca="false">IFERROR(__xludf.dummyfunction("""COMPUTED_VALUE"""),"Urgencias:  Se presentan soportes de la realización de rondas en el servicio de urgencias para la canalización de urgencias al servicio de AMED, se anexan soportes de informes consolidados mensuales y las planillas de reporte diario reposan en el servicio"&amp;" de AMED.
Hospitalización no presentó soportes.")</f>
        <v>Urgencias:  Se presentan soportes de la realización de rondas en el servicio de urgencias para la canalización de urgencias al servicio de AMED, se anexan soportes de informes consolidados mensuales y las planillas de reporte diario reposan en el servicio de AMED.
Hospitalización no presentó soportes.</v>
      </c>
      <c r="F57" s="0" t="str">
        <f aca="false">IFERROR(__xludf.dummyfunction("""COMPUTED_VALUE"""),"Atrasado")</f>
        <v>Atrasado</v>
      </c>
      <c r="G57" s="20" t="str">
        <f aca="false">IFERROR(__xludf.dummyfunction("""COMPUTED_VALUE"""),"https://drive.google.com/open?id=1bd9ohK_TLTphL04BDh63JsT2lz1ygpIY")</f>
        <v>https://drive.google.com/open?id=1bd9ohK_TLTphL04BDh63JsT2lz1ygpIY</v>
      </c>
    </row>
    <row r="58" customFormat="false" ht="14.25" hidden="false" customHeight="false" outlineLevel="0" collapsed="false">
      <c r="A58" s="18" t="str">
        <f aca="false">IFERROR(MID(D58,1,FIND("|",D58)-1)&amp;"-"&amp;C58,"")</f>
        <v>AICI201901-2-6-2</v>
      </c>
      <c r="B58" s="19" t="n">
        <f aca="false">IFERROR(__xludf.dummyfunction("""COMPUTED_VALUE"""),43871)</f>
        <v>43871</v>
      </c>
      <c r="C58" s="0" t="n">
        <f aca="false">IFERROR(__xludf.dummyfunction("""COMPUTED_VALUE"""),2)</f>
        <v>2</v>
      </c>
      <c r="D58" s="0" t="str">
        <f aca="false">IFERROR(__xludf.dummyfunction("""COMPUTED_VALUE"""),"AICI201901-2-6| Revisar y actualizar el procedimineto de egreso, como estrategia para disminuir los tiempos prolongados en la generacion del egreso hospitalario incluye la medicion de tiempos y su estandarzacion. - (15/05/2019 - 31/12/2019)")</f>
        <v>AICI201901-2-6| Revisar y actualizar el procedimineto de egreso, como estrategia para disminuir los tiempos prolongados en la generacion del egreso hospitalario incluye la medicion de tiempos y su estandarzacion. - (15/05/2019 - 31/12/2019)</v>
      </c>
      <c r="E58" s="0" t="str">
        <f aca="false">IFERROR(__xludf.dummyfunction("""COMPUTED_VALUE"""),"No se recibieron soportes de avances de esta acción.")</f>
        <v>No se recibieron soportes de avances de esta acción.</v>
      </c>
      <c r="F58" s="0" t="str">
        <f aca="false">IFERROR(__xludf.dummyfunction("""COMPUTED_VALUE"""),"Atrasado")</f>
        <v>Atrasado</v>
      </c>
    </row>
    <row r="59" customFormat="false" ht="14.25" hidden="false" customHeight="false" outlineLevel="0" collapsed="false">
      <c r="A59" s="18" t="str">
        <f aca="false">IFERROR(MID(D59,1,FIND("|",D59)-1)&amp;"-"&amp;C59,"")</f>
        <v>AICI201901-2-7-2</v>
      </c>
      <c r="B59" s="19" t="n">
        <f aca="false">IFERROR(__xludf.dummyfunction("""COMPUTED_VALUE"""),43871)</f>
        <v>43871</v>
      </c>
      <c r="C59" s="0" t="n">
        <f aca="false">IFERROR(__xludf.dummyfunction("""COMPUTED_VALUE"""),2)</f>
        <v>2</v>
      </c>
      <c r="D59" s="0" t="str">
        <f aca="false">IFERROR(__xludf.dummyfunction("""COMPUTED_VALUE"""),"AICI201901-2-7| Establecer este ejercicio de forma periodica una vez por semana con directores y diario entre lideres y gestores con realizacion de actas de seguimiento al cumplimiento a esta estrategia - (15/05/2019 - 31/12/2019)")</f>
        <v>AICI201901-2-7| Establecer este ejercicio de forma periodica una vez por semana con directores y diario entre lideres y gestores con realizacion de actas de seguimiento al cumplimiento a esta estrategia - (15/05/2019 - 31/12/2019)</v>
      </c>
      <c r="E59" s="0" t="str">
        <f aca="false">IFERROR(__xludf.dummyfunction("""COMPUTED_VALUE"""),"No se presentaron soportes de avances de esta acción")</f>
        <v>No se presentaron soportes de avances de esta acción</v>
      </c>
      <c r="F59" s="0" t="str">
        <f aca="false">IFERROR(__xludf.dummyfunction("""COMPUTED_VALUE"""),"Atrasado")</f>
        <v>Atrasado</v>
      </c>
    </row>
    <row r="60" customFormat="false" ht="14.25" hidden="false" customHeight="false" outlineLevel="0" collapsed="false">
      <c r="A60" s="18" t="str">
        <f aca="false">IFERROR(MID(D60,1,FIND("|",D60)-1)&amp;"-"&amp;C60,"")</f>
        <v>AICI201901-2-8-2</v>
      </c>
      <c r="B60" s="19" t="n">
        <f aca="false">IFERROR(__xludf.dummyfunction("""COMPUTED_VALUE"""),43871)</f>
        <v>43871</v>
      </c>
      <c r="C60" s="0" t="n">
        <f aca="false">IFERROR(__xludf.dummyfunction("""COMPUTED_VALUE"""),2)</f>
        <v>2</v>
      </c>
      <c r="D60" s="0" t="str">
        <f aca="false">IFERROR(__xludf.dummyfunction("""COMPUTED_VALUE"""),"AICI201901-2-8| Establecer la realizacion de Rondas Admnistrativo/asistenciales de las Direcciones Hospitalizacion y Urgencias (Incluye Directores, Lideres y Gestores) con el objetivo de identificar pacientes con demoras en la realizacion de estos procedi"&amp;"mientos en el servicio de urgencias y gestionar su realizacion - (15/05/2019 - 31/12/2019)")</f>
        <v>AICI201901-2-8| Establecer la realizacion de Rondas Admnistrativo/asistenciales de las Direcciones Hospitalizacion y Urgencias (Incluye Directores, Lideres y Gestores) con el objetivo de identificar pacientes con demoras en la realizacion de estos procedimientos en el servicio de urgencias y gestionar su realizacion - (15/05/2019 - 31/12/2019)</v>
      </c>
      <c r="E60" s="0" t="str">
        <f aca="false">IFERROR(__xludf.dummyfunction("""COMPUTED_VALUE"""),"Urgencias: presenta soportes de planillas de control de estancia de pacientes mayores a 24 horas donde se diligencia causa de demora prolongada. Se evidenciaron planillas de mayo a septiembre, algunas planillas no diligencian la columna de la causa de dem"&amp;"ora.  No se presentan soportes de seguimiento de octubre a diciembre de 2019.
No se presentaron soportes de la acción por parte de hospitalización.")</f>
        <v>Urgencias: presenta soportes de planillas de control de estancia de pacientes mayores a 24 horas donde se diligencia causa de demora prolongada. Se evidenciaron planillas de mayo a septiembre, algunas planillas no diligencian la columna de la causa de demora.  No se presentan soportes de seguimiento de octubre a diciembre de 2019.
No se presentaron soportes de la acción por parte de hospitalización.</v>
      </c>
      <c r="F60" s="0" t="str">
        <f aca="false">IFERROR(__xludf.dummyfunction("""COMPUTED_VALUE"""),"Atrasado")</f>
        <v>Atrasado</v>
      </c>
    </row>
    <row r="61" customFormat="false" ht="14.25" hidden="false" customHeight="false" outlineLevel="0" collapsed="false">
      <c r="A61" s="18" t="str">
        <f aca="false">IFERROR(MID(D61,1,FIND("|",D61)-1)&amp;"-"&amp;C61,"")</f>
        <v>AICI201901-2-9-2</v>
      </c>
      <c r="B61" s="19" t="n">
        <f aca="false">IFERROR(__xludf.dummyfunction("""COMPUTED_VALUE"""),43871)</f>
        <v>43871</v>
      </c>
      <c r="C61" s="0" t="n">
        <f aca="false">IFERROR(__xludf.dummyfunction("""COMPUTED_VALUE"""),2)</f>
        <v>2</v>
      </c>
      <c r="D61" s="0" t="str">
        <f aca="false">IFERROR(__xludf.dummyfunction("""COMPUTED_VALUE"""),"AICI201901-2-9| Publicar en los servicios de urgencias los horarios y dias de disponibilidad para la realizacion de procedimientos intermedios y la USS donde se realicen para que los equipos asistenciales puedan identificar a donde se prestan los servicio"&amp;"s y as informar de manera correcta los usuarios sobre la programacion de estos procedimientos y se pueda gestionar su realizacion - (15/05/2019 - 31/12/2019)")</f>
        <v>AICI201901-2-9| Publicar en los servicios de urgencias los horarios y dias de disponibilidad para la realizacion de procedimientos intermedios y la USS donde se realicen para que los equipos asistenciales puedan identificar a donde se prestan los servicios y as informar de manera correcta los usuarios sobre la programacion de estos procedimientos y se pueda gestionar su realizacion - (15/05/2019 - 31/12/2019)</v>
      </c>
      <c r="E61" s="0" t="str">
        <f aca="false">IFERROR(__xludf.dummyfunction("""COMPUTED_VALUE"""),"Esta acción hace referencia a los procedimientos de gastroenterología, oftalmología y cardiología.  Los soportes presentados corresponden a un correo de la dirección de urgencias dirigido a referencia y contrarreferencia, el cual no menciona especialidade"&amp;"s ni procedimientos.  Se presentan fotos de varias carteleras de urgencias en la cuales están los funcionarios consultando información, pero no es posible evidenciar el contenido de la misma.  Se presentan soportes de enero de programación de radiología q"&amp;"ue no corresponden al periodo del plan de mejora.  La Dra. Castro profesional de apoyo de urgencias, explica que estos horarios fueron entregados por ambulatorios desde septiembre y desde esa dirección les han informado que no han habido cambios. Se solic"&amp;"ita aportar evidencias correspondientes a octubre, noviembre y diciembre de 2019, (comunicaciones oficiales, correos a referentes u otros documentos para soportar adecuadamente la acción la acción.")</f>
        <v>Esta acción hace referencia a los procedimientos de gastroenterología, oftalmología y cardiología.  Los soportes presentados corresponden a un correo de la dirección de urgencias dirigido a referencia y contrarreferencia, el cual no menciona especialidades ni procedimientos.  Se presentan fotos de varias carteleras de urgencias en la cuales están los funcionarios consultando información, pero no es posible evidenciar el contenido de la misma.  Se presentan soportes de enero de programación de radiología que no corresponden al periodo del plan de mejora.  La Dra. Castro profesional de apoyo de urgencias, explica que estos horarios fueron entregados por ambulatorios desde septiembre y desde esa dirección les han informado que no han habido cambios. Se solicita aportar evidencias correspondientes a octubre, noviembre y diciembre de 2019, (comunicaciones oficiales, correos a referentes u otros documentos para soportar adecuadamente la acción la acción.</v>
      </c>
      <c r="F61" s="0" t="str">
        <f aca="false">IFERROR(__xludf.dummyfunction("""COMPUTED_VALUE"""),"Atrasado")</f>
        <v>Atrasado</v>
      </c>
    </row>
    <row r="62" customFormat="false" ht="14.25" hidden="false" customHeight="false" outlineLevel="0" collapsed="false">
      <c r="A62" s="18" t="str">
        <f aca="false">IFERROR(MID(D62,1,FIND("|",D62)-1)&amp;"-"&amp;C62,"")</f>
        <v>AICI201901-5-2-2</v>
      </c>
      <c r="B62" s="19" t="n">
        <f aca="false">IFERROR(__xludf.dummyfunction("""COMPUTED_VALUE"""),43872)</f>
        <v>43872</v>
      </c>
      <c r="C62" s="0" t="n">
        <f aca="false">IFERROR(__xludf.dummyfunction("""COMPUTED_VALUE"""),2)</f>
        <v>2</v>
      </c>
      <c r="D62" s="0" t="str">
        <f aca="false">IFERROR(__xludf.dummyfunction("""COMPUTED_VALUE"""),"AICI201901-5-2| Socializar a todo el grupo de medicos Especialistas que responden interconsultas en los servicios de urgencias su obligacion de informmar al personal de urgencias cuales son las desiciones y planes de manejo a seguir con los pacientes inte"&amp;"rconsultados para garantizar la continuidad de los servicios y tratamientos uno de los atributos de la calidad de la atencion - (15/05/2019 - 31/07/2019)")</f>
        <v>AICI201901-5-2| Socializar a todo el grupo de medicos Especialistas que responden interconsultas en los servicios de urgencias su obligacion de informmar al personal de urgencias cuales son las desiciones y planes de manejo a seguir con los pacientes interconsultados para garantizar la continuidad de los servicios y tratamientos uno de los atributos de la calidad de la atencion - (15/05/2019 - 31/07/2019)</v>
      </c>
      <c r="E62" s="0" t="str">
        <f aca="false">IFERROR(__xludf.dummyfunction("""COMPUTED_VALUE"""),"Urgencias:  Ya realizó acción
Hospitalización y ambulatorios no presentan soportes de avance de la acción")</f>
        <v>Urgencias:  Ya realizó acción
Hospitalización y ambulatorios no presentan soportes de avance de la acción</v>
      </c>
      <c r="F62" s="0" t="str">
        <f aca="false">IFERROR(__xludf.dummyfunction("""COMPUTED_VALUE"""),"Atrasado")</f>
        <v>Atrasado</v>
      </c>
    </row>
    <row r="63" customFormat="false" ht="14.25" hidden="false" customHeight="false" outlineLevel="0" collapsed="false">
      <c r="A63" s="18" t="str">
        <f aca="false">IFERROR(MID(D63,1,FIND("|",D63)-1)&amp;"-"&amp;C63,"")</f>
        <v>AICI201901-5-4-2</v>
      </c>
      <c r="B63" s="19" t="n">
        <f aca="false">IFERROR(__xludf.dummyfunction("""COMPUTED_VALUE"""),43872)</f>
        <v>43872</v>
      </c>
      <c r="C63" s="0" t="n">
        <f aca="false">IFERROR(__xludf.dummyfunction("""COMPUTED_VALUE"""),2)</f>
        <v>2</v>
      </c>
      <c r="D63" s="0" t="str">
        <f aca="false">IFERROR(__xludf.dummyfunction("""COMPUTED_VALUE"""),"AICI201901-5-4| Evaluar el conocimiento de lo establecido en el instructivo de solicitud de interconsulta MI-GH-I-2204 al 100% de los Medicos generales y Especialistas que estan involucrados en la generacion y respuesta de interconsultas el - (15/05/2019 "&amp;"- 31/07/2019)")</f>
        <v>AICI201901-5-4| Evaluar el conocimiento de lo establecido en el instructivo de solicitud de interconsulta MI-GH-I-2204 al 100% de los Medicos generales y Especialistas que estan involucrados en la generacion y respuesta de interconsultas el - (15/05/2019 - 31/07/2019)</v>
      </c>
      <c r="E63" s="0" t="str">
        <f aca="false">IFERROR(__xludf.dummyfunction("""COMPUTED_VALUE"""),"Urgencias, ya completó acción.  Hospitalización y ambulatorios no presentaron soportes.")</f>
        <v>Urgencias, ya completó acción.  Hospitalización y ambulatorios no presentaron soportes.</v>
      </c>
      <c r="F63" s="0" t="str">
        <f aca="false">IFERROR(__xludf.dummyfunction("""COMPUTED_VALUE"""),"Atrasado")</f>
        <v>Atrasado</v>
      </c>
    </row>
    <row r="64" customFormat="false" ht="14.25" hidden="false" customHeight="false" outlineLevel="0" collapsed="false">
      <c r="A64" s="18" t="str">
        <f aca="false">IFERROR(MID(D64,1,FIND("|",D64)-1)&amp;"-"&amp;C64,"")</f>
        <v>AICI201901-6-4-2</v>
      </c>
      <c r="B64" s="19" t="n">
        <f aca="false">IFERROR(__xludf.dummyfunction("""COMPUTED_VALUE"""),43872)</f>
        <v>43872</v>
      </c>
      <c r="C64" s="0" t="n">
        <f aca="false">IFERROR(__xludf.dummyfunction("""COMPUTED_VALUE"""),2)</f>
        <v>2</v>
      </c>
      <c r="D64" s="0" t="str">
        <f aca="false">IFERROR(__xludf.dummyfunction("""COMPUTED_VALUE"""),"AICI201901-6-4| Evaluar el conocimiento del personal medico de Urgencias y hospitalizacion sobre las diferentes tipologias que se pueden solicitar en una remision según la necesidad del paciente para que al diligenciar el formato aclaren que tipo de solic"&amp;"itud es la que se requiere para el paciente. - (31/07/2019 - 30/08/2019)")</f>
        <v>AICI201901-6-4| Evaluar el conocimiento del personal medico de Urgencias y hospitalizacion sobre las diferentes tipologias que se pueden solicitar en una remision según la necesidad del paciente para que al diligenciar el formato aclaren que tipo de solicitud es la que se requiere para el paciente. - (31/07/2019 - 30/08/2019)</v>
      </c>
      <c r="E64" s="0" t="str">
        <f aca="false">IFERROR(__xludf.dummyfunction("""COMPUTED_VALUE"""),"Se evidencian soportes de evaluaciones realizadas a todo el personal de urgencias sobre el tema de tipologías de traslado secundario. se anexan soportes de consolidados y un ejemplo de evaluaciones porque los archivos son muy pesados y no se pueden subir."&amp;" los originales reposan en las oficinas de los referentes de urgencias")</f>
        <v>Se evidencian soportes de evaluaciones realizadas a todo el personal de urgencias sobre el tema de tipologías de traslado secundario. se anexan soportes de consolidados y un ejemplo de evaluaciones porque los archivos son muy pesados y no se pueden subir. los originales reposan en las oficinas de los referentes de urgencias</v>
      </c>
      <c r="F64" s="0" t="str">
        <f aca="false">IFERROR(__xludf.dummyfunction("""COMPUTED_VALUE"""),"Completo")</f>
        <v>Completo</v>
      </c>
      <c r="G64" s="0" t="str">
        <f aca="false">IFERROR(__xludf.dummyfunction("""COMPUTED_VALUE"""),"https://drive.google.com/open?id=1kuS6UpoagHwt0UtpIjWvhFQ3e1WAqbbf, https://drive.google.com/open?id=16Uhgt_IYH7T7WxsLVIIbzhD2nDC-rQSM, https://drive.google.com/open?id=1ESgWwzxBfsOBbMe6icLNZLdjHen6sQbA, https://drive.google.com/open?id=1qfxv5o5HaAgHIBPvT"&amp;"za6XDtjSdmYiqWq, https://drive.google.com/open?id=1iPWhHzG80o5nY97U95Ilm2avYoeyYk1M")</f>
        <v>https://drive.google.com/open?id=1kuS6UpoagHwt0UtpIjWvhFQ3e1WAqbbf, https://drive.google.com/open?id=16Uhgt_IYH7T7WxsLVIIbzhD2nDC-rQSM, https://drive.google.com/open?id=1ESgWwzxBfsOBbMe6icLNZLdjHen6sQbA, https://drive.google.com/open?id=1qfxv5o5HaAgHIBPvTza6XDtjSdmYiqWq, https://drive.google.com/open?id=1iPWhHzG80o5nY97U95Ilm2avYoeyYk1M</v>
      </c>
    </row>
    <row r="65" customFormat="false" ht="14.25" hidden="false" customHeight="false" outlineLevel="0" collapsed="false">
      <c r="A65" s="18" t="str">
        <f aca="false">IFERROR(MID(D65,1,FIND("|",D65)-1)&amp;"-"&amp;C65,"")</f>
        <v>AICI201901-6-5-2</v>
      </c>
      <c r="B65" s="19" t="n">
        <f aca="false">IFERROR(__xludf.dummyfunction("""COMPUTED_VALUE"""),43872)</f>
        <v>43872</v>
      </c>
      <c r="C65" s="0" t="n">
        <f aca="false">IFERROR(__xludf.dummyfunction("""COMPUTED_VALUE"""),2)</f>
        <v>2</v>
      </c>
      <c r="D65" s="0" t="str">
        <f aca="false">IFERROR(__xludf.dummyfunction("""COMPUTED_VALUE"""),"AICI201901-6-5| Socializar al 100% de los Medicos generales y Especialistas que estan involucrados en la generacion de referencia o contrareferencia lo establecido en el Manual de Referencia y Contrareferencia MI-SC-O-03-03 - (15/05/2019 - 31/12/2019)")</f>
        <v>AICI201901-6-5| Socializar al 100% de los Medicos generales y Especialistas que estan involucrados en la generacion de referencia o contrareferencia lo establecido en el Manual de Referencia y Contrareferencia MI-SC-O-03-03 - (15/05/2019 - 31/12/2019)</v>
      </c>
      <c r="E65" s="0" t="str">
        <f aca="false">IFERROR(__xludf.dummyfunction("""COMPUTED_VALUE"""),"Urgencias ya completó acción en seguimiento anterior.  Hospitalización y ambulatorios no presentó soportes de avance de la acción")</f>
        <v>Urgencias ya completó acción en seguimiento anterior.  Hospitalización y ambulatorios no presentó soportes de avance de la acción</v>
      </c>
      <c r="F65" s="0" t="str">
        <f aca="false">IFERROR(__xludf.dummyfunction("""COMPUTED_VALUE"""),"Atrasado")</f>
        <v>Atrasado</v>
      </c>
    </row>
    <row r="66" customFormat="false" ht="14.25" hidden="false" customHeight="false" outlineLevel="0" collapsed="false">
      <c r="A66" s="18" t="str">
        <f aca="false">IFERROR(MID(D66,1,FIND("|",D66)-1)&amp;"-"&amp;C66,"")</f>
        <v>AICI201901-8-1-2</v>
      </c>
      <c r="B66" s="19" t="n">
        <f aca="false">IFERROR(__xludf.dummyfunction("""COMPUTED_VALUE"""),43872)</f>
        <v>43872</v>
      </c>
      <c r="C66" s="0" t="n">
        <f aca="false">IFERROR(__xludf.dummyfunction("""COMPUTED_VALUE"""),2)</f>
        <v>2</v>
      </c>
      <c r="D66" s="0" t="str">
        <f aca="false">IFERROR(__xludf.dummyfunction("""COMPUTED_VALUE"""),"AICI201901-8-1| Fortalecer las estrategias de comunicacion de la central de referencia con los gestores hospitalarios para que el traslado de pacientes no criticos se de con la disponibilidad confirmada de camas - (15/05/2019 - 31/12/2019)")</f>
        <v>AICI201901-8-1| Fortalecer las estrategias de comunicacion de la central de referencia con los gestores hospitalarios para que el traslado de pacientes no criticos se de con la disponibilidad confirmada de camas - (15/05/2019 - 31/12/2019)</v>
      </c>
      <c r="E66" s="0" t="str">
        <f aca="false">IFERROR(__xludf.dummyfunction("""COMPUTED_VALUE"""),"Se evidencian soportes de comunicaciones entre referentes para asegurar disponibilidad de camas")</f>
        <v>Se evidencian soportes de comunicaciones entre referentes para asegurar disponibilidad de camas</v>
      </c>
      <c r="F66" s="0" t="str">
        <f aca="false">IFERROR(__xludf.dummyfunction("""COMPUTED_VALUE"""),"Completo")</f>
        <v>Completo</v>
      </c>
      <c r="G66" s="20" t="str">
        <f aca="false">IFERROR(__xludf.dummyfunction("""COMPUTED_VALUE"""),"https://drive.google.com/open?id=119_O-sGhtzS1OYTsXj3wSUwc0ICB7yBV")</f>
        <v>https://drive.google.com/open?id=119_O-sGhtzS1OYTsXj3wSUwc0ICB7yBV</v>
      </c>
    </row>
    <row r="67" customFormat="false" ht="14.25" hidden="false" customHeight="false" outlineLevel="0" collapsed="false">
      <c r="A67" s="18" t="str">
        <f aca="false">IFERROR(MID(D67,1,FIND("|",D67)-1)&amp;"-"&amp;C67,"")</f>
        <v>AICI201901-8-2-2</v>
      </c>
      <c r="B67" s="19" t="n">
        <f aca="false">IFERROR(__xludf.dummyfunction("""COMPUTED_VALUE"""),43872)</f>
        <v>43872</v>
      </c>
      <c r="C67" s="0" t="n">
        <f aca="false">IFERROR(__xludf.dummyfunction("""COMPUTED_VALUE"""),2)</f>
        <v>2</v>
      </c>
      <c r="D67" s="0" t="str">
        <f aca="false">IFERROR(__xludf.dummyfunction("""COMPUTED_VALUE"""),"AICI201901-8-2| Fortalecer las estrategias de comunicación de la central de referencia con los gestores de urgencias para que en casos de urgencias o emergencias los traslados entre sedes se notifiquepara una gestion mas agil de su atencion y no se prolog"&amp;"uen los tiempos de estancia en urgencias - (15/05/2019 - 31/12/2019)")</f>
        <v>AICI201901-8-2| Fortalecer las estrategias de comunicación de la central de referencia con los gestores de urgencias para que en casos de urgencias o emergencias los traslados entre sedes se notifiquepara una gestion mas agil de su atencion y no se prologuen los tiempos de estancia en urgencias - (15/05/2019 - 31/12/2019)</v>
      </c>
      <c r="E67" s="0" t="str">
        <f aca="false">IFERROR(__xludf.dummyfunction("""COMPUTED_VALUE"""),"Se observan soportes de las comunicaciones realizadas para agilizar el tema de traslados de pacientes de urgencias. el soporte se anexo en acción 20.1")</f>
        <v>Se observan soportes de las comunicaciones realizadas para agilizar el tema de traslados de pacientes de urgencias. el soporte se anexo en acción 20.1</v>
      </c>
      <c r="F67" s="0" t="str">
        <f aca="false">IFERROR(__xludf.dummyfunction("""COMPUTED_VALUE"""),"Completo")</f>
        <v>Completo</v>
      </c>
    </row>
    <row r="68" customFormat="false" ht="14.25" hidden="false" customHeight="false" outlineLevel="0" collapsed="false">
      <c r="A68" s="18" t="str">
        <f aca="false">IFERROR(MID(D68,1,FIND("|",D68)-1)&amp;"-"&amp;C68,"")</f>
        <v>AICI201901-9-1-2</v>
      </c>
      <c r="B68" s="19" t="n">
        <f aca="false">IFERROR(__xludf.dummyfunction("""COMPUTED_VALUE"""),43872)</f>
        <v>43872</v>
      </c>
      <c r="C68" s="0" t="n">
        <f aca="false">IFERROR(__xludf.dummyfunction("""COMPUTED_VALUE"""),2)</f>
        <v>2</v>
      </c>
      <c r="D68" s="0" t="str">
        <f aca="false">IFERROR(__xludf.dummyfunction("""COMPUTED_VALUE"""),"AICI201901-9-1| Establecer la realizacion de Rondas Admnistrativo/asistenciales de las Direcciones Hospitalizacion y Urgencias (Incluye Directores, Lideres y Gestores) con el objetivo de dinamizar el proceso de egreso de pacientes en las camas de monitore"&amp;"o continuo - (15/05/2019 - 31/12/2019)")</f>
        <v>AICI201901-9-1| Establecer la realizacion de Rondas Admnistrativo/asistenciales de las Direcciones Hospitalizacion y Urgencias (Incluye Directores, Lideres y Gestores) con el objetivo de dinamizar el proceso de egreso de pacientes en las camas de monitoreo continuo - (15/05/2019 - 31/12/2019)</v>
      </c>
      <c r="E68" s="0" t="str">
        <f aca="false">IFERROR(__xludf.dummyfunction("""COMPUTED_VALUE"""),"No presentaron soportes de avance de esta acción")</f>
        <v>No presentaron soportes de avance de esta acción</v>
      </c>
      <c r="F68" s="0" t="str">
        <f aca="false">IFERROR(__xludf.dummyfunction("""COMPUTED_VALUE"""),"Atrasado")</f>
        <v>Atrasado</v>
      </c>
    </row>
    <row r="69" customFormat="false" ht="14.25" hidden="false" customHeight="false" outlineLevel="0" collapsed="false">
      <c r="A69" s="18" t="str">
        <f aca="false">IFERROR(MID(D69,1,FIND("|",D69)-1)&amp;"-"&amp;C69,"")</f>
        <v>AICI201901-9-2-2</v>
      </c>
      <c r="B69" s="19" t="n">
        <f aca="false">IFERROR(__xludf.dummyfunction("""COMPUTED_VALUE"""),43872)</f>
        <v>43872</v>
      </c>
      <c r="C69" s="0" t="n">
        <f aca="false">IFERROR(__xludf.dummyfunction("""COMPUTED_VALUE"""),2)</f>
        <v>2</v>
      </c>
      <c r="D69" s="0" t="str">
        <f aca="false">IFERROR(__xludf.dummyfunction("""COMPUTED_VALUE"""),"AICI201901-9-2| Fortalecer la gestion de camas hospitalarias para priorizar los egresos de UCI a piso hospitalario como estrategia apra mover los pacientes que se encuentren en las areas de monitoreo continuo - (15/05/2019 - 31/12/2019)")</f>
        <v>AICI201901-9-2| Fortalecer la gestion de camas hospitalarias para priorizar los egresos de UCI a piso hospitalario como estrategia apra mover los pacientes que se encuentren en las areas de monitoreo continuo - (15/05/2019 - 31/12/2019)</v>
      </c>
      <c r="E69" s="0" t="str">
        <f aca="false">IFERROR(__xludf.dummyfunction("""COMPUTED_VALUE"""),"No presentaron soportes de esta acción")</f>
        <v>No presentaron soportes de esta acción</v>
      </c>
      <c r="F69" s="0" t="str">
        <f aca="false">IFERROR(__xludf.dummyfunction("""COMPUTED_VALUE"""),"Atrasado")</f>
        <v>Atrasado</v>
      </c>
    </row>
    <row r="70" customFormat="false" ht="14.25" hidden="false" customHeight="false" outlineLevel="0" collapsed="false">
      <c r="A70" s="18" t="str">
        <f aca="false">IFERROR(MID(D70,1,FIND("|",D70)-1)&amp;"-"&amp;C70,"")</f>
        <v>AICI201901-1-1-3</v>
      </c>
      <c r="B70" s="19" t="n">
        <f aca="false">IFERROR(__xludf.dummyfunction("""COMPUTED_VALUE"""),44056)</f>
        <v>44056</v>
      </c>
      <c r="C70" s="0" t="n">
        <f aca="false">IFERROR(__xludf.dummyfunction("""COMPUTED_VALUE"""),3)</f>
        <v>3</v>
      </c>
      <c r="D70" s="0" t="str">
        <f aca="false">IFERROR(__xludf.dummyfunction("""COMPUTED_VALUE"""),"AICI201901-1-1| Medir de forma mensual la oportunidad de revaloracion de los pacientes de urgencias para alcanzar una meta de tiempo menor o igual a 6 hrs para la definicion de conducta por medicina general (paso a especialidad o egreso) - (15/05/2019 - 3"&amp;"1/12/2019)")</f>
        <v>AICI201901-1-1| Medir de forma mensual la oportunidad de revaloracion de los pacientes de urgencias para alcanzar una meta de tiempo menor o igual a 6 hrs para la definicion de conducta por medicina general (paso a especialidad o egreso) - (15/05/2019 - 31/12/2019)</v>
      </c>
      <c r="E70" s="0" t="str">
        <f aca="false">IFERROR(__xludf.dummyfunction("""COMPUTED_VALUE"""),"Se completo en seguimientos anteriores")</f>
        <v>Se completo en seguimientos anteriores</v>
      </c>
      <c r="F70" s="0" t="str">
        <f aca="false">IFERROR(__xludf.dummyfunction("""COMPUTED_VALUE"""),"Completo")</f>
        <v>Completo</v>
      </c>
    </row>
    <row r="71" customFormat="false" ht="14.25" hidden="false" customHeight="false" outlineLevel="0" collapsed="false">
      <c r="A71" s="18" t="str">
        <f aca="false">IFERROR(MID(D71,1,FIND("|",D71)-1)&amp;"-"&amp;C71,"")</f>
        <v>AICI201901-1-2-3</v>
      </c>
      <c r="B71" s="19" t="n">
        <f aca="false">IFERROR(__xludf.dummyfunction("""COMPUTED_VALUE"""),44056)</f>
        <v>44056</v>
      </c>
      <c r="C71" s="0" t="n">
        <f aca="false">IFERROR(__xludf.dummyfunction("""COMPUTED_VALUE"""),3)</f>
        <v>3</v>
      </c>
      <c r="D71" s="0" t="str">
        <f aca="false">IFERROR(__xludf.dummyfunction("""COMPUTED_VALUE"""),"AICI201901-1-2| Ajustar el horario de una de las auxiliares de enefemeria de urgencias para el area de procedimientos cambiandola del horario normal de 7am a 1pm al horario de 10am a 6 pm de lunes a sabado, como estrategia de apoyo en esta area, para dism"&amp;"inuir la congestion en la iniciacion de pacientes para mejorar la oportunidad en la toma de laboratorios y/o administracion de medicamentos. - (15/06/2019 - 15/07/2019)")</f>
        <v>AICI201901-1-2| Ajustar el horario de una de las auxiliares de enefemeria de urgencias para el area de procedimientos cambiandola del horario normal de 7am a 1pm al horario de 10am a 6 pm de lunes a sabado, como estrategia de apoyo en esta area, para disminuir la congestion en la iniciacion de pacientes para mejorar la oportunidad en la toma de laboratorios y/o administracion de medicamentos. - (15/06/2019 - 15/07/2019)</v>
      </c>
      <c r="E71" s="0" t="str">
        <f aca="false">IFERROR(__xludf.dummyfunction("""COMPUTED_VALUE"""),"Se completó acción en seguimientos anteriores")</f>
        <v>Se completó acción en seguimientos anteriores</v>
      </c>
      <c r="F71" s="0" t="str">
        <f aca="false">IFERROR(__xludf.dummyfunction("""COMPUTED_VALUE"""),"Completo")</f>
        <v>Completo</v>
      </c>
    </row>
    <row r="72" customFormat="false" ht="14.25" hidden="false" customHeight="false" outlineLevel="0" collapsed="false">
      <c r="A72" s="18" t="str">
        <f aca="false">IFERROR(MID(D72,1,FIND("|",D72)-1)&amp;"-"&amp;C72,"")</f>
        <v>AICI201901-1-3-3</v>
      </c>
      <c r="B72" s="19" t="n">
        <f aca="false">IFERROR(__xludf.dummyfunction("""COMPUTED_VALUE"""),44056)</f>
        <v>44056</v>
      </c>
      <c r="C72" s="0" t="n">
        <f aca="false">IFERROR(__xludf.dummyfunction("""COMPUTED_VALUE"""),3)</f>
        <v>3</v>
      </c>
      <c r="D72" s="0" t="str">
        <f aca="false">IFERROR(__xludf.dummyfunction("""COMPUTED_VALUE"""),"AICI201901-1-3| Estandarizar tiempos de entrega de resultados en laboratorio clinico y para la toma de imagenes diagnosticas, realizar medicion de los mismos e implementar acciones en los momentos en que se presenten desviaciones - (15/05/2019 - 31/12/201"&amp;"9)")</f>
        <v>AICI201901-1-3| Estandarizar tiempos de entrega de resultados en laboratorio clinico y para la toma de imagenes diagnosticas, realizar medicion de los mismos e implementar acciones en los momentos en que se presenten desviaciones - (15/05/2019 - 31/12/2019)</v>
      </c>
      <c r="E72" s="0" t="str">
        <f aca="false">IFERROR(__xludf.dummyfunction("""COMPUTED_VALUE"""),"Se completó acción en seguimientos anteriores")</f>
        <v>Se completó acción en seguimientos anteriores</v>
      </c>
      <c r="F72" s="0" t="str">
        <f aca="false">IFERROR(__xludf.dummyfunction("""COMPUTED_VALUE"""),"Completo")</f>
        <v>Completo</v>
      </c>
    </row>
    <row r="73" customFormat="false" ht="14.25" hidden="false" customHeight="false" outlineLevel="0" collapsed="false">
      <c r="A73" s="18" t="str">
        <f aca="false">IFERROR(MID(D73,1,FIND("|",D73)-1)&amp;"-"&amp;C73,"")</f>
        <v>AICI201901-1-4-3</v>
      </c>
      <c r="B73" s="19" t="n">
        <f aca="false">IFERROR(__xludf.dummyfunction("""COMPUTED_VALUE"""),44056)</f>
        <v>44056</v>
      </c>
      <c r="C73" s="0" t="n">
        <f aca="false">IFERROR(__xludf.dummyfunction("""COMPUTED_VALUE"""),3)</f>
        <v>3</v>
      </c>
      <c r="D73" s="0" t="str">
        <f aca="false">IFERROR(__xludf.dummyfunction("""COMPUTED_VALUE"""),"AICI201901-1-4| Aumento de las horas definidas para respuesta de interconsultas en urgencias, de los especialistas de psiquiatria y urologia a traves de la consertacion con la Direccion de servicios ambulatorios - (15/06/2019 - 15/07/2019)")</f>
        <v>AICI201901-1-4| Aumento de las horas definidas para respuesta de interconsultas en urgencias, de los especialistas de psiquiatria y urologia a traves de la consertacion con la Direccion de servicios ambulatorios - (15/06/2019 - 15/07/2019)</v>
      </c>
      <c r="E73" s="0" t="str">
        <f aca="false">IFERROR(__xludf.dummyfunction("""COMPUTED_VALUE"""),"Se completó acción en seguimientos anteriores")</f>
        <v>Se completó acción en seguimientos anteriores</v>
      </c>
      <c r="F73" s="0" t="str">
        <f aca="false">IFERROR(__xludf.dummyfunction("""COMPUTED_VALUE"""),"Completo")</f>
        <v>Completo</v>
      </c>
    </row>
    <row r="74" customFormat="false" ht="14.25" hidden="false" customHeight="false" outlineLevel="0" collapsed="false">
      <c r="A74" s="18" t="str">
        <f aca="false">IFERROR(MID(D74,1,FIND("|",D74)-1)&amp;"-"&amp;C74,"")</f>
        <v>AICI201901-1-5-3</v>
      </c>
      <c r="B74" s="19" t="n">
        <f aca="false">IFERROR(__xludf.dummyfunction("""COMPUTED_VALUE"""),44056)</f>
        <v>44056</v>
      </c>
      <c r="C74" s="0" t="n">
        <f aca="false">IFERROR(__xludf.dummyfunction("""COMPUTED_VALUE"""),3)</f>
        <v>3</v>
      </c>
      <c r="D74" s="0" t="str">
        <f aca="false">IFERROR(__xludf.dummyfunction("""COMPUTED_VALUE"""),"AICI201901-1-5| Contracion de Horas de Neurologia para las UMHES Engativa y CSE Suba. Definiendo la cantidad de horas que se requieren para dar cobertura a la necesidad en las dos UMHES - (15/06/2019 - 15/07/2019)")</f>
        <v>AICI201901-1-5| Contracion de Horas de Neurologia para las UMHES Engativa y CSE Suba. Definiendo la cantidad de horas que se requieren para dar cobertura a la necesidad en las dos UMHES - (15/06/2019 - 15/07/2019)</v>
      </c>
      <c r="E74" s="0" t="str">
        <f aca="false">IFERROR(__xludf.dummyfunction("""COMPUTED_VALUE"""),"Se completó acción en seguimientos anteriores")</f>
        <v>Se completó acción en seguimientos anteriores</v>
      </c>
      <c r="F74" s="0" t="str">
        <f aca="false">IFERROR(__xludf.dummyfunction("""COMPUTED_VALUE"""),"Completo")</f>
        <v>Completo</v>
      </c>
    </row>
    <row r="75" customFormat="false" ht="14.25" hidden="false" customHeight="false" outlineLevel="0" collapsed="false">
      <c r="A75" s="18" t="str">
        <f aca="false">IFERROR(MID(D75,1,FIND("|",D75)-1)&amp;"-"&amp;C75,"")</f>
        <v>AICI201901-1-6-3</v>
      </c>
      <c r="B75" s="19" t="n">
        <f aca="false">IFERROR(__xludf.dummyfunction("""COMPUTED_VALUE"""),44027)</f>
        <v>44027</v>
      </c>
      <c r="C75" s="0" t="n">
        <f aca="false">IFERROR(__xludf.dummyfunction("""COMPUTED_VALUE"""),3)</f>
        <v>3</v>
      </c>
      <c r="D75" s="0" t="str">
        <f aca="false">IFERROR(__xludf.dummyfunction("""COMPUTED_VALUE"""),"AICI201901-1-6| Monitorear de forma mensual la oportunidad de traslado a la UMHES Simon Bolivar de los pacientes que requieren valoracion y manejo integral de Neurocirugia, para tomar acciones de mejora ante la meta establecida de menor o igual a 6 horas "&amp;"- (15/05/2019 - 31/12/2019)")</f>
        <v>AICI201901-1-6| Monitorear de forma mensual la oportunidad de traslado a la UMHES Simon Bolivar de los pacientes que requieren valoracion y manejo integral de Neurocirugia, para tomar acciones de mejora ante la meta establecida de menor o igual a 6 horas - (15/05/2019 - 31/12/2019)</v>
      </c>
      <c r="E75" s="0" t="str">
        <f aca="false">IFERROR(__xludf.dummyfunction("""COMPUTED_VALUE"""),"Se evidencia soporte de seguimiento realizado a la oportunidad de valoración por neurocirugía y la respectiva ficha del indicador, la cual se anexa al seguimiento")</f>
        <v>Se evidencia soporte de seguimiento realizado a la oportunidad de valoración por neurocirugía y la respectiva ficha del indicador, la cual se anexa al seguimiento</v>
      </c>
      <c r="F75" s="0" t="str">
        <f aca="false">IFERROR(__xludf.dummyfunction("""COMPUTED_VALUE"""),"Completo")</f>
        <v>Completo</v>
      </c>
      <c r="G75" s="0" t="str">
        <f aca="false">IFERROR(__xludf.dummyfunction("""COMPUTED_VALUE"""),"https://drive.google.com/open?id=1-e2imYPY4QJE9qLG466XHV86ZxGsycr7, https://drive.google.com/open?id=15fa_KXRV4zP0tUp47yK5Ub1sm9gLYrcD")</f>
        <v>https://drive.google.com/open?id=1-e2imYPY4QJE9qLG466XHV86ZxGsycr7, https://drive.google.com/open?id=15fa_KXRV4zP0tUp47yK5Ub1sm9gLYrcD</v>
      </c>
    </row>
    <row r="76" customFormat="false" ht="14.25" hidden="false" customHeight="false" outlineLevel="0" collapsed="false">
      <c r="A76" s="18" t="str">
        <f aca="false">IFERROR(MID(D76,1,FIND("|",D76)-1)&amp;"-"&amp;C76,"")</f>
        <v>AICI201901-2-1-3</v>
      </c>
      <c r="B76" s="19" t="n">
        <f aca="false">IFERROR(__xludf.dummyfunction("""COMPUTED_VALUE"""),44056)</f>
        <v>44056</v>
      </c>
      <c r="C76" s="0" t="n">
        <f aca="false">IFERROR(__xludf.dummyfunction("""COMPUTED_VALUE"""),3)</f>
        <v>3</v>
      </c>
      <c r="D76" s="0" t="str">
        <f aca="false">IFERROR(__xludf.dummyfunction("""COMPUTED_VALUE"""),"AICI201901-2-1| Establecer la realizacion de Rondas Admnistrativo/asistenciales de las Direcciones Hospitalizacion y Urgencias (Incluye Directores, Lideres y Gestores) con el objetivo de identificar pacientes pendientes de programacion quirurgica, valorac"&amp;"ion por especialidades quirugicas y gestionar su programacion - (15/05/2019 - 31/12/2019)")</f>
        <v>AICI201901-2-1| Establecer la realizacion de Rondas Admnistrativo/asistenciales de las Direcciones Hospitalizacion y Urgencias (Incluye Directores, Lideres y Gestores) con el objetivo de identificar pacientes pendientes de programacion quirurgica, valoracion por especialidades quirugicas y gestionar su programacion - (15/05/2019 - 31/12/2019)</v>
      </c>
      <c r="E76" s="0" t="str">
        <f aca="false">IFERROR(__xludf.dummyfunction("""COMPUTED_VALUE"""),"No se presentaron soportes de avances de esta acción por parte de la dirección de hospitalización, Estado acción atrasada")</f>
        <v>No se presentaron soportes de avances de esta acción por parte de la dirección de hospitalización, Estado acción atrasada</v>
      </c>
      <c r="F76" s="0" t="str">
        <f aca="false">IFERROR(__xludf.dummyfunction("""COMPUTED_VALUE"""),"Atrasado")</f>
        <v>Atrasado</v>
      </c>
    </row>
    <row r="77" customFormat="false" ht="14.25" hidden="false" customHeight="false" outlineLevel="0" collapsed="false">
      <c r="A77" s="18" t="str">
        <f aca="false">IFERROR(MID(D77,1,FIND("|",D77)-1)&amp;"-"&amp;C77,"")</f>
        <v>AICI201901-2-10-3</v>
      </c>
      <c r="B77" s="19" t="n">
        <f aca="false">IFERROR(__xludf.dummyfunction("""COMPUTED_VALUE"""),44056)</f>
        <v>44056</v>
      </c>
      <c r="C77" s="0" t="n">
        <f aca="false">IFERROR(__xludf.dummyfunction("""COMPUTED_VALUE"""),3)</f>
        <v>3</v>
      </c>
      <c r="D77" s="0" t="str">
        <f aca="false">IFERROR(__xludf.dummyfunction("""COMPUTED_VALUE"""),"AICI201901-2-10| Priorizar el traslado de pacientes que requieran procedimientos intermedios entre las diferentes UMHES y CAPS como estrategia para dinamizar su realizacion a traves de el personal que coordina los despachos de las moviles de traslados sec"&amp;"undarios - (15/05/2019 - 31/12/2019)")</f>
        <v>AICI201901-2-10| Priorizar el traslado de pacientes que requieran procedimientos intermedios entre las diferentes UMHES y CAPS como estrategia para dinamizar su realizacion a traves de el personal que coordina los despachos de las moviles de traslados secundarios - (15/05/2019 - 31/12/2019)</v>
      </c>
      <c r="E77" s="0" t="str">
        <f aca="false">IFERROR(__xludf.dummyfunction("""COMPUTED_VALUE"""),"Esta acción se completó en los seguimientos anteriores")</f>
        <v>Esta acción se completó en los seguimientos anteriores</v>
      </c>
      <c r="F77" s="0" t="str">
        <f aca="false">IFERROR(__xludf.dummyfunction("""COMPUTED_VALUE"""),"Completo")</f>
        <v>Completo</v>
      </c>
    </row>
    <row r="78" customFormat="false" ht="14.25" hidden="false" customHeight="false" outlineLevel="0" collapsed="false">
      <c r="A78" s="18" t="str">
        <f aca="false">IFERROR(MID(D78,1,FIND("|",D78)-1)&amp;"-"&amp;C78,"")</f>
        <v>AICI201901-2-11-3</v>
      </c>
      <c r="B78" s="19" t="n">
        <f aca="false">IFERROR(__xludf.dummyfunction("""COMPUTED_VALUE"""),44056)</f>
        <v>44056</v>
      </c>
      <c r="C78" s="0" t="n">
        <f aca="false">IFERROR(__xludf.dummyfunction("""COMPUTED_VALUE"""),3)</f>
        <v>3</v>
      </c>
      <c r="D78" s="0" t="str">
        <f aca="false">IFERROR(__xludf.dummyfunction("""COMPUTED_VALUE"""),"AICI201901-2-11| Socializar al 100% del personal de enfermeria los intructivos institucionales para la preparacion depacientes prequirugicos, examenes especiales que se tienen establecidos en la Subred Norte. - (15/06/2019 - 31/07/2019)")</f>
        <v>AICI201901-2-11| Socializar al 100% del personal de enfermeria los intructivos institucionales para la preparacion depacientes prequirugicos, examenes especiales que se tienen establecidos en la Subred Norte. - (15/06/2019 - 31/07/2019)</v>
      </c>
      <c r="E78" s="0" t="str">
        <f aca="false">IFERROR(__xludf.dummyfunction("""COMPUTED_VALUE"""),"Esta acción se completó en los seguimientos anteriores")</f>
        <v>Esta acción se completó en los seguimientos anteriores</v>
      </c>
      <c r="F78" s="0" t="str">
        <f aca="false">IFERROR(__xludf.dummyfunction("""COMPUTED_VALUE"""),"Completo")</f>
        <v>Completo</v>
      </c>
    </row>
    <row r="79" customFormat="false" ht="14.25" hidden="false" customHeight="false" outlineLevel="0" collapsed="false">
      <c r="A79" s="18" t="str">
        <f aca="false">IFERROR(MID(D79,1,FIND("|",D79)-1)&amp;"-"&amp;C79,"")</f>
        <v>AICI201901-2-12-3</v>
      </c>
      <c r="B79" s="19" t="n">
        <f aca="false">IFERROR(__xludf.dummyfunction("""COMPUTED_VALUE"""),44056)</f>
        <v>44056</v>
      </c>
      <c r="C79" s="0" t="n">
        <f aca="false">IFERROR(__xludf.dummyfunction("""COMPUTED_VALUE"""),3)</f>
        <v>3</v>
      </c>
      <c r="D79" s="0" t="str">
        <f aca="false">IFERROR(__xludf.dummyfunction("""COMPUTED_VALUE"""),"AICI201901-2-12| Evaluar el conocimiento y aplicación de los intructivos institucionales para la preparacion depacientes prequirugicos, examenes especiales que se tienen establecidos en la Subred Norte. A traves de la realizacion de pre test y postest en "&amp;"el momento de la socializacion - (15/06/2019 - 31/07/2019)")</f>
        <v>AICI201901-2-12| Evaluar el conocimiento y aplicación de los intructivos institucionales para la preparacion depacientes prequirugicos, examenes especiales que se tienen establecidos en la Subred Norte. A traves de la realizacion de pre test y postest en el momento de la socializacion - (15/06/2019 - 31/07/2019)</v>
      </c>
      <c r="E79" s="0" t="str">
        <f aca="false">IFERROR(__xludf.dummyfunction("""COMPUTED_VALUE"""),"Esta acción se completó en los seguimientos anteriores")</f>
        <v>Esta acción se completó en los seguimientos anteriores</v>
      </c>
      <c r="F79" s="0" t="str">
        <f aca="false">IFERROR(__xludf.dummyfunction("""COMPUTED_VALUE"""),"Completo")</f>
        <v>Completo</v>
      </c>
    </row>
    <row r="80" customFormat="false" ht="14.25" hidden="false" customHeight="false" outlineLevel="0" collapsed="false">
      <c r="A80" s="18" t="str">
        <f aca="false">IFERROR(MID(D80,1,FIND("|",D80)-1)&amp;"-"&amp;C80,"")</f>
        <v>AICI201901-2-13-3</v>
      </c>
      <c r="B80" s="19" t="n">
        <f aca="false">IFERROR(__xludf.dummyfunction("""COMPUTED_VALUE"""),44056)</f>
        <v>44056</v>
      </c>
      <c r="C80" s="0" t="n">
        <f aca="false">IFERROR(__xludf.dummyfunction("""COMPUTED_VALUE"""),3)</f>
        <v>3</v>
      </c>
      <c r="D80" s="0" t="str">
        <f aca="false">IFERROR(__xludf.dummyfunction("""COMPUTED_VALUE"""),"AICI201901-2-13| Socializar al 100% de los medicos generales y especialistas de los servicios de urgencias, hospitalizacion y quirurgicos, los criterios de inclusion al programa PAD - (15/05/2019 - 31/07/2019)")</f>
        <v>AICI201901-2-13| Socializar al 100% de los medicos generales y especialistas de los servicios de urgencias, hospitalizacion y quirurgicos, los criterios de inclusion al programa PAD - (15/05/2019 - 31/07/2019)</v>
      </c>
      <c r="E80" s="0" t="str">
        <f aca="false">IFERROR(__xludf.dummyfunction("""COMPUTED_VALUE"""),"Urgencias ya completó la acción. Hospitalización no presenta soportes de avances de esta acción")</f>
        <v>Urgencias ya completó la acción. Hospitalización no presenta soportes de avances de esta acción</v>
      </c>
      <c r="F80" s="0" t="str">
        <f aca="false">IFERROR(__xludf.dummyfunction("""COMPUTED_VALUE"""),"Atrasado")</f>
        <v>Atrasado</v>
      </c>
    </row>
    <row r="81" customFormat="false" ht="14.25" hidden="false" customHeight="false" outlineLevel="0" collapsed="false">
      <c r="A81" s="18" t="str">
        <f aca="false">IFERROR(MID(D81,1,FIND("|",D81)-1)&amp;"-"&amp;C81,"")</f>
        <v>AICI201901-2-14-3</v>
      </c>
      <c r="B81" s="19" t="n">
        <f aca="false">IFERROR(__xludf.dummyfunction("""COMPUTED_VALUE"""),44056)</f>
        <v>44056</v>
      </c>
      <c r="C81" s="0" t="n">
        <f aca="false">IFERROR(__xludf.dummyfunction("""COMPUTED_VALUE"""),3)</f>
        <v>3</v>
      </c>
      <c r="D81" s="0" t="str">
        <f aca="false">IFERROR(__xludf.dummyfunction("""COMPUTED_VALUE"""),"AICI201901-2-14| Fortalecer la participacion de los equipos de PAD en las Rondas Admnistrativas/ asistenciales definidas para identificacion de pacientes en los servicios de Hositalizacion y Urgencias suceptibles de ingresar al programa. - (15/05/2019 - 3"&amp;"1/12/2019)")</f>
        <v>AICI201901-2-14| Fortalecer la participacion de los equipos de PAD en las Rondas Admnistrativas/ asistenciales definidas para identificacion de pacientes en los servicios de Hositalizacion y Urgencias suceptibles de ingresar al programa. - (15/05/2019 - 31/12/2019)</v>
      </c>
      <c r="E81" s="0" t="str">
        <f aca="false">IFERROR(__xludf.dummyfunction("""COMPUTED_VALUE"""),"No se presentaron soportes de avance de esta acción. Por parte de hospitalización y complementarios.")</f>
        <v>No se presentaron soportes de avance de esta acción. Por parte de hospitalización y complementarios.</v>
      </c>
      <c r="F81" s="0" t="str">
        <f aca="false">IFERROR(__xludf.dummyfunction("""COMPUTED_VALUE"""),"Atrasado")</f>
        <v>Atrasado</v>
      </c>
    </row>
    <row r="82" customFormat="false" ht="14.25" hidden="false" customHeight="false" outlineLevel="0" collapsed="false">
      <c r="A82" s="18" t="str">
        <f aca="false">IFERROR(MID(D82,1,FIND("|",D82)-1)&amp;"-"&amp;C82,"")</f>
        <v>AICI201901-2-2-3</v>
      </c>
      <c r="B82" s="19" t="n">
        <f aca="false">IFERROR(__xludf.dummyfunction("""COMPUTED_VALUE"""),44056)</f>
        <v>44056</v>
      </c>
      <c r="C82" s="0" t="n">
        <f aca="false">IFERROR(__xludf.dummyfunction("""COMPUTED_VALUE"""),3)</f>
        <v>3</v>
      </c>
      <c r="D82" s="0" t="str">
        <f aca="false">IFERROR(__xludf.dummyfunction("""COMPUTED_VALUE"""),"AICI201901-2-2| Monitorizar la utilización efectiva de la capacidad instalada de salas de cirugía para tratar de optimizarla, a traves de la programación de jornadas quirúrgicas extras, para responder a la demanda, y trabajar en la priorización de pacient"&amp;"es a intervenir y diferir los menos urgentes a traves de PAD - (15/05/2019 - 31/12/2019)")</f>
        <v>AICI201901-2-2| Monitorizar la utilización efectiva de la capacidad instalada de salas de cirugía para tratar de optimizarla, a traves de la programación de jornadas quirúrgicas extras, para responder a la demanda, y trabajar en la priorización de pacientes a intervenir y diferir los menos urgentes a traves de PAD - (15/05/2019 - 31/12/2019)</v>
      </c>
      <c r="E82" s="0" t="str">
        <f aca="false">IFERROR(__xludf.dummyfunction("""COMPUTED_VALUE"""),"No se presentaron soportes de avances de esta acción por parte de la dirección de hospitalización, Estado acción atrasada")</f>
        <v>No se presentaron soportes de avances de esta acción por parte de la dirección de hospitalización, Estado acción atrasada</v>
      </c>
      <c r="F82" s="0" t="str">
        <f aca="false">IFERROR(__xludf.dummyfunction("""COMPUTED_VALUE"""),"Atrasado")</f>
        <v>Atrasado</v>
      </c>
    </row>
    <row r="83" customFormat="false" ht="14.25" hidden="false" customHeight="false" outlineLevel="0" collapsed="false">
      <c r="A83" s="18" t="str">
        <f aca="false">IFERROR(MID(D83,1,FIND("|",D83)-1)&amp;"-"&amp;C83,"")</f>
        <v>AICI201901-2-3-3</v>
      </c>
      <c r="B83" s="19" t="n">
        <f aca="false">IFERROR(__xludf.dummyfunction("""COMPUTED_VALUE"""),44056)</f>
        <v>44056</v>
      </c>
      <c r="C83" s="0" t="n">
        <f aca="false">IFERROR(__xludf.dummyfunction("""COMPUTED_VALUE"""),3)</f>
        <v>3</v>
      </c>
      <c r="D83" s="0" t="str">
        <f aca="false">IFERROR(__xludf.dummyfunction("""COMPUTED_VALUE"""),"AICI201901-2-3| Establecer este ejercicio de forma periodica una vez por semana con directores y diario entre lideres y gestores con realizacion de actas de seguimiento al cumplimiento a esta estrategia - (15/05/2019 - 31/12/2019)")</f>
        <v>AICI201901-2-3| Establecer este ejercicio de forma periodica una vez por semana con directores y diario entre lideres y gestores con realizacion de actas de seguimiento al cumplimiento a esta estrategia - (15/05/2019 - 31/12/2019)</v>
      </c>
      <c r="E83" s="0" t="str">
        <f aca="false">IFERROR(__xludf.dummyfunction("""COMPUTED_VALUE"""),"No se presentaron soportes de avances de esta acción por parte de la dirección de hospitalización, Estado acción atrasada")</f>
        <v>No se presentaron soportes de avances de esta acción por parte de la dirección de hospitalización, Estado acción atrasada</v>
      </c>
      <c r="F83" s="0" t="str">
        <f aca="false">IFERROR(__xludf.dummyfunction("""COMPUTED_VALUE"""),"Atrasado")</f>
        <v>Atrasado</v>
      </c>
    </row>
    <row r="84" customFormat="false" ht="14.25" hidden="false" customHeight="false" outlineLevel="0" collapsed="false">
      <c r="A84" s="18" t="str">
        <f aca="false">IFERROR(MID(D84,1,FIND("|",D84)-1)&amp;"-"&amp;C84,"")</f>
        <v>AICI201901-2-4-3</v>
      </c>
      <c r="B84" s="19" t="n">
        <f aca="false">IFERROR(__xludf.dummyfunction("""COMPUTED_VALUE"""),44056)</f>
        <v>44056</v>
      </c>
      <c r="C84" s="0" t="n">
        <f aca="false">IFERROR(__xludf.dummyfunction("""COMPUTED_VALUE"""),3)</f>
        <v>3</v>
      </c>
      <c r="D84" s="0" t="str">
        <f aca="false">IFERROR(__xludf.dummyfunction("""COMPUTED_VALUE"""),"AICI201901-2-4| Establecer la realizacion de Rondas Admnistrativo /asistenciales de las Direcciones Hospitalizacion , Urgencias y las Oficinas de Admisiones y Prticipacion social y servicio al ciudadano. (Incluye Directores, Lideres y Gestores) con el obj"&amp;"etivo de dinamizar el proceso de egreso de pacientes - (15/05/2019 - 31/12/2019)")</f>
        <v>AICI201901-2-4| Establecer la realizacion de Rondas Admnistrativo /asistenciales de las Direcciones Hospitalizacion , Urgencias y las Oficinas de Admisiones y Prticipacion social y servicio al ciudadano. (Incluye Directores, Lideres y Gestores) con el objetivo de dinamizar el proceso de egreso de pacientes - (15/05/2019 - 31/12/2019)</v>
      </c>
      <c r="E84" s="0" t="str">
        <f aca="false">IFERROR(__xludf.dummyfunction("""COMPUTED_VALUE"""),"Se observan soportes de de rondas diarias  por parte del personal de urgencias de las UMHES Simón Bolívar, Suba, Engativá y CAPS Chapinero de los meses de octubre a diciembre de 2019 y enero a junio de 2020; se verificaron las planillas de control de esta"&amp;"ncias de 24 horas en las cuales se relacionan los pacientes, con la causa de estancia prolongada.  igualmente se observan los reportes realizados a hospitalización derivados del análisis de planillas y las actas de las reuniones sostenidas entre líderes d"&amp;"e urgencias y hospitalización para analizar y tratar de dar solución a lo relacionado con los traslados que dependen de hospitalización. Se observa que el tema de estancias prolongadas por esta causa, no ha mejorado sustancialmente, se observan muchos pac"&amp;"ientes en espera en la UMHES Simón y Engativá principalmente, dado que la capacidad instalada de hospitalización se prioriza para UCI, Quirúrgicos y las camas disponibles para urgencias no alcanzan a cubrir la demanda. Los soportes de lo anterior reposan "&amp;"en la dirección de urgencias, son muy pesados para anexarlos en el aplicativo.")</f>
        <v>Se observan soportes de de rondas diarias  por parte del personal de urgencias de las UMHES Simón Bolívar, Suba, Engativá y CAPS Chapinero de los meses de octubre a diciembre de 2019 y enero a junio de 2020; se verificaron las planillas de control de estancias de 24 horas en las cuales se relacionan los pacientes, con la causa de estancia prolongada.  igualmente se observan los reportes realizados a hospitalización derivados del análisis de planillas y las actas de las reuniones sostenidas entre líderes de urgencias y hospitalización para analizar y tratar de dar solución a lo relacionado con los traslados que dependen de hospitalización. Se observa que el tema de estancias prolongadas por esta causa, no ha mejorado sustancialmente, se observan muchos pacientes en espera en la UMHES Simón y Engativá principalmente, dado que la capacidad instalada de hospitalización se prioriza para UCI, Quirúrgicos y las camas disponibles para urgencias no alcanzan a cubrir la demanda. Los soportes de lo anterior reposan en la dirección de urgencias, son muy pesados para anexarlos en el aplicativo.</v>
      </c>
      <c r="F84" s="0" t="str">
        <f aca="false">IFERROR(__xludf.dummyfunction("""COMPUTED_VALUE"""),"Atrasado")</f>
        <v>Atrasado</v>
      </c>
    </row>
    <row r="85" customFormat="false" ht="14.25" hidden="false" customHeight="false" outlineLevel="0" collapsed="false">
      <c r="A85" s="18" t="str">
        <f aca="false">IFERROR(MID(D85,1,FIND("|",D85)-1)&amp;"-"&amp;C85,"")</f>
        <v>AICI201901-2-5-3</v>
      </c>
      <c r="B85" s="19" t="n">
        <f aca="false">IFERROR(__xludf.dummyfunction("""COMPUTED_VALUE"""),44056)</f>
        <v>44056</v>
      </c>
      <c r="C85" s="0" t="n">
        <f aca="false">IFERROR(__xludf.dummyfunction("""COMPUTED_VALUE"""),3)</f>
        <v>3</v>
      </c>
      <c r="D85" s="0" t="str">
        <f aca="false">IFERROR(__xludf.dummyfunction("""COMPUTED_VALUE"""),"AICI201901-2-5| Fortalecer con los profesionales especialistas y medicos genrales la canalizacion de usuarios al Programa de atencion domiciiaria (PAD) como estragia para el Egreso de pacientes de bajo riesgo o aquellos en lo que se puede generar alta tem"&amp;"prana segun los criterios de inclusion en el programa - (15/05/2019 - 31/12/2019)")</f>
        <v>AICI201901-2-5| Fortalecer con los profesionales especialistas y medicos genrales la canalizacion de usuarios al Programa de atencion domiciiaria (PAD) como estragia para el Egreso de pacientes de bajo riesgo o aquellos en lo que se puede generar alta temprana segun los criterios de inclusion en el programa - (15/05/2019 - 31/12/2019)</v>
      </c>
      <c r="E85" s="0" t="str">
        <f aca="false">IFERROR(__xludf.dummyfunction("""COMPUTED_VALUE"""),"No se presentaron soportes de avance de esta acción, por parte de los servicios de hospitalización y complementarios. Estado acción atrasada")</f>
        <v>No se presentaron soportes de avance de esta acción, por parte de los servicios de hospitalización y complementarios. Estado acción atrasada</v>
      </c>
      <c r="F85" s="0" t="str">
        <f aca="false">IFERROR(__xludf.dummyfunction("""COMPUTED_VALUE"""),"Atrasado")</f>
        <v>Atrasado</v>
      </c>
    </row>
    <row r="86" customFormat="false" ht="14.25" hidden="false" customHeight="false" outlineLevel="0" collapsed="false">
      <c r="A86" s="18" t="str">
        <f aca="false">IFERROR(MID(D86,1,FIND("|",D86)-1)&amp;"-"&amp;C86,"")</f>
        <v>AICI201901-2-6-3</v>
      </c>
      <c r="B86" s="19" t="n">
        <f aca="false">IFERROR(__xludf.dummyfunction("""COMPUTED_VALUE"""),44056)</f>
        <v>44056</v>
      </c>
      <c r="C86" s="0" t="n">
        <f aca="false">IFERROR(__xludf.dummyfunction("""COMPUTED_VALUE"""),3)</f>
        <v>3</v>
      </c>
      <c r="D86" s="0" t="str">
        <f aca="false">IFERROR(__xludf.dummyfunction("""COMPUTED_VALUE"""),"AICI201901-2-6| Revisar y actualizar el procedimineto de egreso, como estrategia para disminuir los tiempos prolongados en la generacion del egreso hospitalario incluye la medicion de tiempos y su estandarzacion. - (15/05/2019 - 31/12/2019)")</f>
        <v>AICI201901-2-6| Revisar y actualizar el procedimineto de egreso, como estrategia para disminuir los tiempos prolongados en la generacion del egreso hospitalario incluye la medicion de tiempos y su estandarzacion. - (15/05/2019 - 31/12/2019)</v>
      </c>
      <c r="E86" s="0" t="str">
        <f aca="false">IFERROR(__xludf.dummyfunction("""COMPUTED_VALUE"""),"No se presentaron soportes de avance de esta acción por parte de hospitalización, facturación, admisiones y participación social, servicio al ciudadano. Estado acción atrasada")</f>
        <v>No se presentaron soportes de avance de esta acción por parte de hospitalización, facturación, admisiones y participación social, servicio al ciudadano. Estado acción atrasada</v>
      </c>
      <c r="F86" s="0" t="str">
        <f aca="false">IFERROR(__xludf.dummyfunction("""COMPUTED_VALUE"""),"Atrasado")</f>
        <v>Atrasado</v>
      </c>
    </row>
    <row r="87" customFormat="false" ht="14.25" hidden="false" customHeight="false" outlineLevel="0" collapsed="false">
      <c r="A87" s="18" t="str">
        <f aca="false">IFERROR(MID(D87,1,FIND("|",D87)-1)&amp;"-"&amp;C87,"")</f>
        <v>AICI201901-2-7-3</v>
      </c>
      <c r="B87" s="19" t="n">
        <f aca="false">IFERROR(__xludf.dummyfunction("""COMPUTED_VALUE"""),44056)</f>
        <v>44056</v>
      </c>
      <c r="C87" s="0" t="n">
        <f aca="false">IFERROR(__xludf.dummyfunction("""COMPUTED_VALUE"""),3)</f>
        <v>3</v>
      </c>
      <c r="D87" s="0" t="str">
        <f aca="false">IFERROR(__xludf.dummyfunction("""COMPUTED_VALUE"""),"AICI201901-2-7| Establecer este ejercicio de forma periodica una vez por semana con directores y diario entre lideres y gestores con realizacion de actas de seguimiento al cumplimiento a esta estrategia - (15/05/2019 - 31/12/2019)")</f>
        <v>AICI201901-2-7| Establecer este ejercicio de forma periodica una vez por semana con directores y diario entre lideres y gestores con realizacion de actas de seguimiento al cumplimiento a esta estrategia - (15/05/2019 - 31/12/2019)</v>
      </c>
      <c r="E87" s="0" t="str">
        <f aca="false">IFERROR(__xludf.dummyfunction("""COMPUTED_VALUE"""),"No se presentaron soportes de avance de esta acción por parte de hospitalización, facturación, admisiones y participación social, servicio al ciudadano. Estado acción atrasada")</f>
        <v>No se presentaron soportes de avance de esta acción por parte de hospitalización, facturación, admisiones y participación social, servicio al ciudadano. Estado acción atrasada</v>
      </c>
      <c r="F87" s="0" t="str">
        <f aca="false">IFERROR(__xludf.dummyfunction("""COMPUTED_VALUE"""),"Atrasado")</f>
        <v>Atrasado</v>
      </c>
    </row>
    <row r="88" customFormat="false" ht="14.25" hidden="false" customHeight="false" outlineLevel="0" collapsed="false">
      <c r="A88" s="18" t="str">
        <f aca="false">IFERROR(MID(D88,1,FIND("|",D88)-1)&amp;"-"&amp;C88,"")</f>
        <v>AICI201901-2-8-3</v>
      </c>
      <c r="B88" s="19" t="n">
        <f aca="false">IFERROR(__xludf.dummyfunction("""COMPUTED_VALUE"""),44056)</f>
        <v>44056</v>
      </c>
      <c r="C88" s="0" t="n">
        <f aca="false">IFERROR(__xludf.dummyfunction("""COMPUTED_VALUE"""),3)</f>
        <v>3</v>
      </c>
      <c r="D88" s="0" t="str">
        <f aca="false">IFERROR(__xludf.dummyfunction("""COMPUTED_VALUE"""),"AICI201901-2-8| Establecer la realizacion de Rondas Admnistrativo/asistenciales de las Direcciones Hospitalizacion y Urgencias (Incluye Directores, Lideres y Gestores) con el objetivo de identificar pacientes con demoras en la realizacion de estos procedi"&amp;"mientos en el servicio de urgencias y gestionar su realizacion - (15/05/2019 - 31/12/2019)")</f>
        <v>AICI201901-2-8| Establecer la realizacion de Rondas Admnistrativo/asistenciales de las Direcciones Hospitalizacion y Urgencias (Incluye Directores, Lideres y Gestores) con el objetivo de identificar pacientes con demoras en la realizacion de estos procedimientos en el servicio de urgencias y gestionar su realizacion - (15/05/2019 - 31/12/2019)</v>
      </c>
      <c r="E88" s="0" t="str">
        <f aca="false">IFERROR(__xludf.dummyfunction("""COMPUTED_VALUE"""),"Se evidencia la revisión diaria por parte de urgencias al ingual que lo explicado anteriormente en las rondas para registrar estancias mayores a 24 horas, pero no se observa gestión con los servicios ambulatorios, para realizacion de procedimientos interm"&amp;"edios de gastroenterología, oftalmología y cardiología que se realizan por especialidades del área  ambulatoria en relación a horarios o disponibilidad del servicio en fines de semana. por lo tanto no se ha avanzado en la acción definida")</f>
        <v>Se evidencia la revisión diaria por parte de urgencias al ingual que lo explicado anteriormente en las rondas para registrar estancias mayores a 24 horas, pero no se observa gestión con los servicios ambulatorios, para realizacion de procedimientos intermedios de gastroenterología, oftalmología y cardiología que se realizan por especialidades del área  ambulatoria en relación a horarios o disponibilidad del servicio en fines de semana. por lo tanto no se ha avanzado en la acción definida</v>
      </c>
      <c r="F88" s="0" t="str">
        <f aca="false">IFERROR(__xludf.dummyfunction("""COMPUTED_VALUE"""),"Atrasado")</f>
        <v>Atrasado</v>
      </c>
    </row>
    <row r="89" customFormat="false" ht="14.25" hidden="false" customHeight="false" outlineLevel="0" collapsed="false">
      <c r="A89" s="18" t="str">
        <f aca="false">IFERROR(MID(D89,1,FIND("|",D89)-1)&amp;"-"&amp;C89,"")</f>
        <v>AICI201901-2-9-3</v>
      </c>
      <c r="B89" s="19" t="n">
        <f aca="false">IFERROR(__xludf.dummyfunction("""COMPUTED_VALUE"""),44056)</f>
        <v>44056</v>
      </c>
      <c r="C89" s="0" t="n">
        <f aca="false">IFERROR(__xludf.dummyfunction("""COMPUTED_VALUE"""),3)</f>
        <v>3</v>
      </c>
      <c r="D89" s="0" t="str">
        <f aca="false">IFERROR(__xludf.dummyfunction("""COMPUTED_VALUE"""),"AICI201901-2-9| Publicar en los servicios de urgencias los horarios y dias de disponibilidad para la realizacion de procedimientos intermedios y la USS donde se realicen para que los equipos asistenciales puedan identificar a donde se prestan los servicio"&amp;"s y as informar de manera correcta los usuarios sobre la programacion de estos procedimientos y se pueda gestionar su realizacion - (15/05/2019 - 31/12/2019)")</f>
        <v>AICI201901-2-9| Publicar en los servicios de urgencias los horarios y dias de disponibilidad para la realizacion de procedimientos intermedios y la USS donde se realicen para que los equipos asistenciales puedan identificar a donde se prestan los servicios y as informar de manera correcta los usuarios sobre la programacion de estos procedimientos y se pueda gestionar su realizacion - (15/05/2019 - 31/12/2019)</v>
      </c>
      <c r="E89" s="0" t="str">
        <f aca="false">IFERROR(__xludf.dummyfunction("""COMPUTED_VALUE"""),"No se recibieron soportes de avances de esta acción. Estado acción atrasada")</f>
        <v>No se recibieron soportes de avances de esta acción. Estado acción atrasada</v>
      </c>
      <c r="F89" s="0" t="str">
        <f aca="false">IFERROR(__xludf.dummyfunction("""COMPUTED_VALUE"""),"Atrasado")</f>
        <v>Atrasado</v>
      </c>
    </row>
    <row r="90" customFormat="false" ht="14.25" hidden="false" customHeight="false" outlineLevel="0" collapsed="false">
      <c r="A90" s="18" t="str">
        <f aca="false">IFERROR(MID(D90,1,FIND("|",D90)-1)&amp;"-"&amp;C90,"")</f>
        <v>AICI201901-3-1-3</v>
      </c>
      <c r="B90" s="19" t="n">
        <f aca="false">IFERROR(__xludf.dummyfunction("""COMPUTED_VALUE"""),44056)</f>
        <v>44056</v>
      </c>
      <c r="C90" s="0" t="n">
        <f aca="false">IFERROR(__xludf.dummyfunction("""COMPUTED_VALUE"""),3)</f>
        <v>3</v>
      </c>
      <c r="D90" s="0" t="str">
        <f aca="false">IFERROR(__xludf.dummyfunction("""COMPUTED_VALUE"""),"AICI201901-3-1| Normalizar el procedimiento de atencion de urgencias según lo establecido en el procedimiento de Normalizacion y regulacion Documental CL-P-04-01. - (15/05/2019 - 31/05/2019)")</f>
        <v>AICI201901-3-1| Normalizar el procedimiento de atencion de urgencias según lo establecido en el procedimiento de Normalizacion y regulacion Documental CL-P-04-01. - (15/05/2019 - 31/05/2019)</v>
      </c>
      <c r="E90" s="0" t="str">
        <f aca="false">IFERROR(__xludf.dummyfunction("""COMPUTED_VALUE"""),"Esta acción se completó en los seguimientos anteriores")</f>
        <v>Esta acción se completó en los seguimientos anteriores</v>
      </c>
      <c r="F90" s="0" t="str">
        <f aca="false">IFERROR(__xludf.dummyfunction("""COMPUTED_VALUE"""),"Completo")</f>
        <v>Completo</v>
      </c>
    </row>
    <row r="91" customFormat="false" ht="14.25" hidden="false" customHeight="false" outlineLevel="0" collapsed="false">
      <c r="A91" s="18" t="str">
        <f aca="false">IFERROR(MID(D91,1,FIND("|",D91)-1)&amp;"-"&amp;C91,"")</f>
        <v>AICI201901-3-2-3</v>
      </c>
      <c r="B91" s="19" t="n">
        <f aca="false">IFERROR(__xludf.dummyfunction("""COMPUTED_VALUE"""),44056)</f>
        <v>44056</v>
      </c>
      <c r="C91" s="0" t="n">
        <f aca="false">IFERROR(__xludf.dummyfunction("""COMPUTED_VALUE"""),3)</f>
        <v>3</v>
      </c>
      <c r="D91" s="0" t="str">
        <f aca="false">IFERROR(__xludf.dummyfunction("""COMPUTED_VALUE"""),"AICI201901-3-2| Socializar el PROCEDIMIENTO ATENCIÓN INTEGRAL DE URGENCIAS MI-GU-P-01-03, a todo el personal asistencial y administrativo del servicio de urgencias - (31/05/2019 - 31/07/2019)")</f>
        <v>AICI201901-3-2| Socializar el PROCEDIMIENTO ATENCIÓN INTEGRAL DE URGENCIAS MI-GU-P-01-03, a todo el personal asistencial y administrativo del servicio de urgencias - (31/05/2019 - 31/07/2019)</v>
      </c>
      <c r="E91" s="0" t="str">
        <f aca="false">IFERROR(__xludf.dummyfunction("""COMPUTED_VALUE"""),"Esta acción se completó en los seguimientos anteriores")</f>
        <v>Esta acción se completó en los seguimientos anteriores</v>
      </c>
      <c r="F91" s="0" t="str">
        <f aca="false">IFERROR(__xludf.dummyfunction("""COMPUTED_VALUE"""),"Completo")</f>
        <v>Completo</v>
      </c>
    </row>
    <row r="92" customFormat="false" ht="14.25" hidden="false" customHeight="false" outlineLevel="0" collapsed="false">
      <c r="A92" s="18" t="str">
        <f aca="false">IFERROR(MID(D92,1,FIND("|",D92)-1)&amp;"-"&amp;C92,"")</f>
        <v>AICI201901-4-1-3</v>
      </c>
      <c r="B92" s="19" t="n">
        <f aca="false">IFERROR(__xludf.dummyfunction("""COMPUTED_VALUE"""),44056)</f>
        <v>44056</v>
      </c>
      <c r="C92" s="0" t="n">
        <f aca="false">IFERROR(__xludf.dummyfunction("""COMPUTED_VALUE"""),3)</f>
        <v>3</v>
      </c>
      <c r="D92" s="0" t="str">
        <f aca="false">IFERROR(__xludf.dummyfunction("""COMPUTED_VALUE"""),"AICI201901-4-1| Socializar el PROCEDIMIENTO ATENCIÓN INTEGRAL DE URGENCIAS MI-GU-P-01-03, a todo el personal asistencial y administrativo del servicio de urgencias - (15/05/2019 - 31/07/2019)")</f>
        <v>AICI201901-4-1| Socializar el PROCEDIMIENTO ATENCIÓN INTEGRAL DE URGENCIAS MI-GU-P-01-03, a todo el personal asistencial y administrativo del servicio de urgencias - (15/05/2019 - 31/07/2019)</v>
      </c>
      <c r="E92" s="0" t="str">
        <f aca="false">IFERROR(__xludf.dummyfunction("""COMPUTED_VALUE"""),"Esta acción se completó en los seguimientos anteriores")</f>
        <v>Esta acción se completó en los seguimientos anteriores</v>
      </c>
      <c r="F92" s="0" t="str">
        <f aca="false">IFERROR(__xludf.dummyfunction("""COMPUTED_VALUE"""),"Completo")</f>
        <v>Completo</v>
      </c>
    </row>
    <row r="93" customFormat="false" ht="14.25" hidden="false" customHeight="false" outlineLevel="0" collapsed="false">
      <c r="A93" s="18" t="str">
        <f aca="false">IFERROR(MID(D93,1,FIND("|",D93)-1)&amp;"-"&amp;C93,"")</f>
        <v>AICI201901-4-2-3</v>
      </c>
      <c r="B93" s="19" t="n">
        <f aca="false">IFERROR(__xludf.dummyfunction("""COMPUTED_VALUE"""),44056)</f>
        <v>44056</v>
      </c>
      <c r="C93" s="0" t="n">
        <f aca="false">IFERROR(__xludf.dummyfunction("""COMPUTED_VALUE"""),3)</f>
        <v>3</v>
      </c>
      <c r="D93" s="0" t="str">
        <f aca="false">IFERROR(__xludf.dummyfunction("""COMPUTED_VALUE"""),"AICI201901-4-2| Evaluar el conocimiento del personal medico al MI-GU-I-02-01-INSTRUCTIVO ATENCIÓN MÉDICA INICIAL Y DEFINICIÓN DE CONDUCTA - (31/07/2019 - 30/08/2019)")</f>
        <v>AICI201901-4-2| Evaluar el conocimiento del personal medico al MI-GU-I-02-01-INSTRUCTIVO ATENCIÓN MÉDICA INICIAL Y DEFINICIÓN DE CONDUCTA - (31/07/2019 - 30/08/2019)</v>
      </c>
      <c r="E93" s="0" t="str">
        <f aca="false">IFERROR(__xludf.dummyfunction("""COMPUTED_VALUE"""),"Esta acción se completó en los seguimientos anteriores")</f>
        <v>Esta acción se completó en los seguimientos anteriores</v>
      </c>
      <c r="F93" s="0" t="str">
        <f aca="false">IFERROR(__xludf.dummyfunction("""COMPUTED_VALUE"""),"Completo")</f>
        <v>Completo</v>
      </c>
    </row>
    <row r="94" customFormat="false" ht="14.25" hidden="false" customHeight="false" outlineLevel="0" collapsed="false">
      <c r="A94" s="18" t="str">
        <f aca="false">IFERROR(MID(D94,1,FIND("|",D94)-1)&amp;"-"&amp;C94,"")</f>
        <v>AICI201901-4-3-3</v>
      </c>
      <c r="B94" s="19" t="n">
        <f aca="false">IFERROR(__xludf.dummyfunction("""COMPUTED_VALUE"""),44056)</f>
        <v>44056</v>
      </c>
      <c r="C94" s="0" t="n">
        <f aca="false">IFERROR(__xludf.dummyfunction("""COMPUTED_VALUE"""),3)</f>
        <v>3</v>
      </c>
      <c r="D94" s="0" t="str">
        <f aca="false">IFERROR(__xludf.dummyfunction("""COMPUTED_VALUE"""),"AICI201901-4-3| Socializar el MI-GU-I-02-01-INSTRUCTIVO ATENCIÓN MÉDICA INICIAL Y DEFINICIÓN DE CONDUCTA, a todo el personal asistencial medico del servicio de urgencias - (15/05/2019 - 31/07/2019)")</f>
        <v>AICI201901-4-3| Socializar el MI-GU-I-02-01-INSTRUCTIVO ATENCIÓN MÉDICA INICIAL Y DEFINICIÓN DE CONDUCTA, a todo el personal asistencial medico del servicio de urgencias - (15/05/2019 - 31/07/2019)</v>
      </c>
      <c r="E94" s="0" t="str">
        <f aca="false">IFERROR(__xludf.dummyfunction("""COMPUTED_VALUE"""),"Esta acción se completó en los seguimientos anteriores")</f>
        <v>Esta acción se completó en los seguimientos anteriores</v>
      </c>
      <c r="F94" s="0" t="str">
        <f aca="false">IFERROR(__xludf.dummyfunction("""COMPUTED_VALUE"""),"Completo")</f>
        <v>Completo</v>
      </c>
    </row>
    <row r="95" customFormat="false" ht="14.25" hidden="false" customHeight="false" outlineLevel="0" collapsed="false">
      <c r="A95" s="18" t="str">
        <f aca="false">IFERROR(MID(D95,1,FIND("|",D95)-1)&amp;"-"&amp;C95,"")</f>
        <v>AICI201901-4-4-3</v>
      </c>
      <c r="B95" s="19" t="n">
        <f aca="false">IFERROR(__xludf.dummyfunction("""COMPUTED_VALUE"""),44056)</f>
        <v>44056</v>
      </c>
      <c r="C95" s="0" t="n">
        <f aca="false">IFERROR(__xludf.dummyfunction("""COMPUTED_VALUE"""),3)</f>
        <v>3</v>
      </c>
      <c r="D95" s="0" t="str">
        <f aca="false">IFERROR(__xludf.dummyfunction("""COMPUTED_VALUE"""),"AICI201901-4-4| Evaluar el conocimiento del personal medico al MI-GU-I-02-01-INSTRUCTIVO ATENCIÓN MÉDICA INICIAL Y DEFINICIÓN DE CONDUCTA - (31/07/2019 - 30/08/2019)")</f>
        <v>AICI201901-4-4| Evaluar el conocimiento del personal medico al MI-GU-I-02-01-INSTRUCTIVO ATENCIÓN MÉDICA INICIAL Y DEFINICIÓN DE CONDUCTA - (31/07/2019 - 30/08/2019)</v>
      </c>
      <c r="E95" s="0" t="str">
        <f aca="false">IFERROR(__xludf.dummyfunction("""COMPUTED_VALUE"""),"Esta acción se completó en los seguimientos anteriores")</f>
        <v>Esta acción se completó en los seguimientos anteriores</v>
      </c>
      <c r="F95" s="0" t="str">
        <f aca="false">IFERROR(__xludf.dummyfunction("""COMPUTED_VALUE"""),"Completo")</f>
        <v>Completo</v>
      </c>
    </row>
    <row r="96" customFormat="false" ht="14.25" hidden="false" customHeight="false" outlineLevel="0" collapsed="false">
      <c r="A96" s="18" t="str">
        <f aca="false">IFERROR(MID(D96,1,FIND("|",D96)-1)&amp;"-"&amp;C96,"")</f>
        <v>AICI201901-5-1-3</v>
      </c>
      <c r="B96" s="19" t="n">
        <f aca="false">IFERROR(__xludf.dummyfunction("""COMPUTED_VALUE"""),44056)</f>
        <v>44056</v>
      </c>
      <c r="C96" s="0" t="n">
        <f aca="false">IFERROR(__xludf.dummyfunction("""COMPUTED_VALUE"""),3)</f>
        <v>3</v>
      </c>
      <c r="D96" s="0" t="str">
        <f aca="false">IFERROR(__xludf.dummyfunction("""COMPUTED_VALUE"""),"AICI201901-5-1| Socializar a todo el grupo de medicos generales de los servicios de urgencias su obligacion en la revision de las respuestas de las interconsultas y en la continuidad de los servicios y tratamientos que suguiera la Especialidad como uno de"&amp;" los atributos de la calidad de la atencion - (15/05/2019 - 31/07/2019)")</f>
        <v>AICI201901-5-1| Socializar a todo el grupo de medicos generales de los servicios de urgencias su obligacion en la revision de las respuestas de las interconsultas y en la continuidad de los servicios y tratamientos que suguiera la Especialidad como uno de los atributos de la calidad de la atencion - (15/05/2019 - 31/07/2019)</v>
      </c>
      <c r="E96" s="0" t="str">
        <f aca="false">IFERROR(__xludf.dummyfunction("""COMPUTED_VALUE"""),"Esta acción se completó en los seguimientos anteriores")</f>
        <v>Esta acción se completó en los seguimientos anteriores</v>
      </c>
      <c r="F96" s="0" t="str">
        <f aca="false">IFERROR(__xludf.dummyfunction("""COMPUTED_VALUE"""),"Completo")</f>
        <v>Completo</v>
      </c>
    </row>
    <row r="97" customFormat="false" ht="14.25" hidden="false" customHeight="false" outlineLevel="0" collapsed="false">
      <c r="A97" s="18" t="str">
        <f aca="false">IFERROR(MID(D97,1,FIND("|",D97)-1)&amp;"-"&amp;C97,"")</f>
        <v>AICI201901-5-2-3</v>
      </c>
      <c r="B97" s="19" t="n">
        <f aca="false">IFERROR(__xludf.dummyfunction("""COMPUTED_VALUE"""),44056)</f>
        <v>44056</v>
      </c>
      <c r="C97" s="0" t="n">
        <f aca="false">IFERROR(__xludf.dummyfunction("""COMPUTED_VALUE"""),3)</f>
        <v>3</v>
      </c>
      <c r="D97" s="0" t="str">
        <f aca="false">IFERROR(__xludf.dummyfunction("""COMPUTED_VALUE"""),"AICI201901-5-2| Socializar a todo el grupo de medicos Especialistas que responden interconsultas en los servicios de urgencias su obligacion de informmar al personal de urgencias cuales son las desiciones y planes de manejo a seguir con los pacientes inte"&amp;"rconsultados para garantizar la continuidad de los servicios y tratamientos uno de los atributos de la calidad de la atencion - (15/05/2019 - 31/07/2019)")</f>
        <v>AICI201901-5-2| Socializar a todo el grupo de medicos Especialistas que responden interconsultas en los servicios de urgencias su obligacion de informmar al personal de urgencias cuales son las desiciones y planes de manejo a seguir con los pacientes interconsultados para garantizar la continuidad de los servicios y tratamientos uno de los atributos de la calidad de la atencion - (15/05/2019 - 31/07/2019)</v>
      </c>
      <c r="E97" s="0" t="str">
        <f aca="false">IFERROR(__xludf.dummyfunction("""COMPUTED_VALUE"""),"No se presentan soportes de avance de la acción, por parte de hospitalización y ambulatorios.")</f>
        <v>No se presentan soportes de avance de la acción, por parte de hospitalización y ambulatorios.</v>
      </c>
      <c r="F97" s="0" t="str">
        <f aca="false">IFERROR(__xludf.dummyfunction("""COMPUTED_VALUE"""),"Atrasado")</f>
        <v>Atrasado</v>
      </c>
    </row>
    <row r="98" customFormat="false" ht="14.25" hidden="false" customHeight="false" outlineLevel="0" collapsed="false">
      <c r="A98" s="18" t="str">
        <f aca="false">IFERROR(MID(D98,1,FIND("|",D98)-1)&amp;"-"&amp;C98,"")</f>
        <v>AICI201901-5-3-3</v>
      </c>
      <c r="B98" s="19" t="n">
        <f aca="false">IFERROR(__xludf.dummyfunction("""COMPUTED_VALUE"""),44056)</f>
        <v>44056</v>
      </c>
      <c r="C98" s="0" t="n">
        <f aca="false">IFERROR(__xludf.dummyfunction("""COMPUTED_VALUE"""),3)</f>
        <v>3</v>
      </c>
      <c r="D98" s="0" t="str">
        <f aca="false">IFERROR(__xludf.dummyfunction("""COMPUTED_VALUE"""),"AICI201901-5-3| Socializar al 100% de los Medicos generales y Especialistas que estan involucrados en la generacion y respuesta de interconsultas el instructivo de solicitud de interconsulta MI-GH-I-2204 - (15/05/2019 - 31/07/2019)")</f>
        <v>AICI201901-5-3| Socializar al 100% de los Medicos generales y Especialistas que estan involucrados en la generacion y respuesta de interconsultas el instructivo de solicitud de interconsulta MI-GH-I-2204 - (15/05/2019 - 31/07/2019)</v>
      </c>
      <c r="E98" s="0" t="str">
        <f aca="false">IFERROR(__xludf.dummyfunction("""COMPUTED_VALUE"""),"Esta acción se completó en los seguimientos anteriores")</f>
        <v>Esta acción se completó en los seguimientos anteriores</v>
      </c>
      <c r="F98" s="0" t="str">
        <f aca="false">IFERROR(__xludf.dummyfunction("""COMPUTED_VALUE"""),"Completo")</f>
        <v>Completo</v>
      </c>
    </row>
    <row r="99" customFormat="false" ht="14.25" hidden="false" customHeight="false" outlineLevel="0" collapsed="false">
      <c r="A99" s="18" t="str">
        <f aca="false">IFERROR(MID(D99,1,FIND("|",D99)-1)&amp;"-"&amp;C99,"")</f>
        <v>AICI201901-5-4-3</v>
      </c>
      <c r="B99" s="19" t="n">
        <f aca="false">IFERROR(__xludf.dummyfunction("""COMPUTED_VALUE"""),44056)</f>
        <v>44056</v>
      </c>
      <c r="C99" s="0" t="n">
        <f aca="false">IFERROR(__xludf.dummyfunction("""COMPUTED_VALUE"""),3)</f>
        <v>3</v>
      </c>
      <c r="D99" s="0" t="str">
        <f aca="false">IFERROR(__xludf.dummyfunction("""COMPUTED_VALUE"""),"AICI201901-5-4| Evaluar el conocimiento de lo establecido en el instructivo de solicitud de interconsulta MI-GH-I-2204 al 100% de los Medicos generales y Especialistas que estan involucrados en la generacion y respuesta de interconsultas el - (15/05/2019 "&amp;"- 31/07/2019)")</f>
        <v>AICI201901-5-4| Evaluar el conocimiento de lo establecido en el instructivo de solicitud de interconsulta MI-GH-I-2204 al 100% de los Medicos generales y Especialistas que estan involucrados en la generacion y respuesta de interconsultas el - (15/05/2019 - 31/07/2019)</v>
      </c>
      <c r="E99" s="0" t="str">
        <f aca="false">IFERROR(__xludf.dummyfunction("""COMPUTED_VALUE"""),"No se presentan soportes de avance de la acción, por parte de hospitalización y ambulatorios.")</f>
        <v>No se presentan soportes de avance de la acción, por parte de hospitalización y ambulatorios.</v>
      </c>
      <c r="F99" s="0" t="str">
        <f aca="false">IFERROR(__xludf.dummyfunction("""COMPUTED_VALUE"""),"Atrasado")</f>
        <v>Atrasado</v>
      </c>
    </row>
    <row r="100" customFormat="false" ht="14.25" hidden="false" customHeight="false" outlineLevel="0" collapsed="false">
      <c r="A100" s="18" t="str">
        <f aca="false">IFERROR(MID(D100,1,FIND("|",D100)-1)&amp;"-"&amp;C100,"")</f>
        <v>AICI201901-6-1-3</v>
      </c>
      <c r="B100" s="19" t="n">
        <f aca="false">IFERROR(__xludf.dummyfunction("""COMPUTED_VALUE"""),44056)</f>
        <v>44056</v>
      </c>
      <c r="C100" s="0" t="n">
        <f aca="false">IFERROR(__xludf.dummyfunction("""COMPUTED_VALUE"""),3)</f>
        <v>3</v>
      </c>
      <c r="D100" s="0" t="str">
        <f aca="false">IFERROR(__xludf.dummyfunction("""COMPUTED_VALUE"""),"AICI201901-6-1| Diseñar instructivo que defina el paso a paso para el traslado de paciente entre servicios, sin que esto implique realizar un nuevo ingreso a urgencias la la USS a donde se remite - (15/05/2019 - 31/07/2019)")</f>
        <v>AICI201901-6-1| Diseñar instructivo que defina el paso a paso para el traslado de paciente entre servicios, sin que esto implique realizar un nuevo ingreso a urgencias la la USS a donde se remite - (15/05/2019 - 31/07/2019)</v>
      </c>
      <c r="E100" s="0" t="str">
        <f aca="false">IFERROR(__xludf.dummyfunction("""COMPUTED_VALUE"""),"esta acción se completó en seguimientos anteriores")</f>
        <v>esta acción se completó en seguimientos anteriores</v>
      </c>
      <c r="F100" s="0" t="str">
        <f aca="false">IFERROR(__xludf.dummyfunction("""COMPUTED_VALUE"""),"Completo")</f>
        <v>Completo</v>
      </c>
    </row>
    <row r="101" customFormat="false" ht="14.25" hidden="false" customHeight="false" outlineLevel="0" collapsed="false">
      <c r="A101" s="18" t="str">
        <f aca="false">IFERROR(MID(D101,1,FIND("|",D101)-1)&amp;"-"&amp;C101,"")</f>
        <v>AICI201901-6-2-3</v>
      </c>
      <c r="B101" s="19" t="n">
        <f aca="false">IFERROR(__xludf.dummyfunction("""COMPUTED_VALUE"""),44056)</f>
        <v>44056</v>
      </c>
      <c r="C101" s="0" t="n">
        <f aca="false">IFERROR(__xludf.dummyfunction("""COMPUTED_VALUE"""),3)</f>
        <v>3</v>
      </c>
      <c r="D101" s="0" t="str">
        <f aca="false">IFERROR(__xludf.dummyfunction("""COMPUTED_VALUE"""),"AICI201901-6-2| Socializar instructivo que defina el paso a paso para el traslado de paciente entre servicios, sin que esto implique realizar un nuevo ingreso a urgencias la la USS a donde se remite - (31/07/2019 - 30/08/2019)")</f>
        <v>AICI201901-6-2| Socializar instructivo que defina el paso a paso para el traslado de paciente entre servicios, sin que esto implique realizar un nuevo ingreso a urgencias la la USS a donde se remite - (31/07/2019 - 30/08/2019)</v>
      </c>
      <c r="E101" s="0" t="str">
        <f aca="false">IFERROR(__xludf.dummyfunction("""COMPUTED_VALUE"""),"Esta acción se completó en los seguimientos anteriores")</f>
        <v>Esta acción se completó en los seguimientos anteriores</v>
      </c>
      <c r="F101" s="0" t="str">
        <f aca="false">IFERROR(__xludf.dummyfunction("""COMPUTED_VALUE"""),"Completo")</f>
        <v>Completo</v>
      </c>
    </row>
    <row r="102" customFormat="false" ht="14.25" hidden="false" customHeight="false" outlineLevel="0" collapsed="false">
      <c r="A102" s="18" t="str">
        <f aca="false">IFERROR(MID(D102,1,FIND("|",D102)-1)&amp;"-"&amp;C102,"")</f>
        <v>AICI201901-6-3-3</v>
      </c>
      <c r="B102" s="19" t="n">
        <f aca="false">IFERROR(__xludf.dummyfunction("""COMPUTED_VALUE"""),44056)</f>
        <v>44056</v>
      </c>
      <c r="C102" s="0" t="n">
        <f aca="false">IFERROR(__xludf.dummyfunction("""COMPUTED_VALUE"""),3)</f>
        <v>3</v>
      </c>
      <c r="D102" s="0" t="str">
        <f aca="false">IFERROR(__xludf.dummyfunction("""COMPUTED_VALUE"""),"AICI201901-6-3| Socializar al personal medico de Urgencias y hospitalizacion las diferentes tipologias que se pueden solicitar en una remision según la necesidad del paciente para que al diligenciar el formato aclaren que tipo de solicitud es la que se re"&amp;"quiere para el paciente. - (15/05/2019 - 31/07/2019)")</f>
        <v>AICI201901-6-3| Socializar al personal medico de Urgencias y hospitalizacion las diferentes tipologias que se pueden solicitar en una remision según la necesidad del paciente para que al diligenciar el formato aclaren que tipo de solicitud es la que se requiere para el paciente. - (15/05/2019 - 31/07/2019)</v>
      </c>
      <c r="E102" s="0" t="str">
        <f aca="false">IFERROR(__xludf.dummyfunction("""COMPUTED_VALUE"""),"Esta acción se completó en los seguimientos anteriores")</f>
        <v>Esta acción se completó en los seguimientos anteriores</v>
      </c>
      <c r="F102" s="0" t="str">
        <f aca="false">IFERROR(__xludf.dummyfunction("""COMPUTED_VALUE"""),"Completo")</f>
        <v>Completo</v>
      </c>
    </row>
    <row r="103" customFormat="false" ht="14.25" hidden="false" customHeight="false" outlineLevel="0" collapsed="false">
      <c r="A103" s="18" t="str">
        <f aca="false">IFERROR(MID(D103,1,FIND("|",D103)-1)&amp;"-"&amp;C103,"")</f>
        <v>AICI201901-6-4-3</v>
      </c>
      <c r="B103" s="19" t="n">
        <f aca="false">IFERROR(__xludf.dummyfunction("""COMPUTED_VALUE"""),44056)</f>
        <v>44056</v>
      </c>
      <c r="C103" s="0" t="n">
        <f aca="false">IFERROR(__xludf.dummyfunction("""COMPUTED_VALUE"""),3)</f>
        <v>3</v>
      </c>
      <c r="D103" s="0" t="str">
        <f aca="false">IFERROR(__xludf.dummyfunction("""COMPUTED_VALUE"""),"AICI201901-6-4| Evaluar el conocimiento del personal medico de Urgencias y hospitalizacion sobre las diferentes tipologias que se pueden solicitar en una remision según la necesidad del paciente para que al diligenciar el formato aclaren que tipo de solic"&amp;"itud es la que se requiere para el paciente. - (31/07/2019 - 30/08/2019)")</f>
        <v>AICI201901-6-4| Evaluar el conocimiento del personal medico de Urgencias y hospitalizacion sobre las diferentes tipologias que se pueden solicitar en una remision según la necesidad del paciente para que al diligenciar el formato aclaren que tipo de solicitud es la que se requiere para el paciente. - (31/07/2019 - 30/08/2019)</v>
      </c>
      <c r="E103" s="0" t="str">
        <f aca="false">IFERROR(__xludf.dummyfunction("""COMPUTED_VALUE"""),"Esta acción se completó en los seguimientos anteriores")</f>
        <v>Esta acción se completó en los seguimientos anteriores</v>
      </c>
      <c r="F103" s="0" t="str">
        <f aca="false">IFERROR(__xludf.dummyfunction("""COMPUTED_VALUE"""),"Completo")</f>
        <v>Completo</v>
      </c>
    </row>
    <row r="104" customFormat="false" ht="14.25" hidden="false" customHeight="false" outlineLevel="0" collapsed="false">
      <c r="A104" s="18" t="str">
        <f aca="false">IFERROR(MID(D104,1,FIND("|",D104)-1)&amp;"-"&amp;C104,"")</f>
        <v>AICI201901-6-5-3</v>
      </c>
      <c r="B104" s="19" t="n">
        <f aca="false">IFERROR(__xludf.dummyfunction("""COMPUTED_VALUE"""),44056)</f>
        <v>44056</v>
      </c>
      <c r="C104" s="0" t="n">
        <f aca="false">IFERROR(__xludf.dummyfunction("""COMPUTED_VALUE"""),3)</f>
        <v>3</v>
      </c>
      <c r="D104" s="0" t="str">
        <f aca="false">IFERROR(__xludf.dummyfunction("""COMPUTED_VALUE"""),"AICI201901-6-5| Socializar al 100% de los Medicos generales y Especialistas que estan involucrados en la generacion de referencia o contrareferencia lo establecido en el Manual de Referencia y Contrareferencia MI-SC-O-03-03 - (15/05/2019 - 31/12/2019)")</f>
        <v>AICI201901-6-5| Socializar al 100% de los Medicos generales y Especialistas que estan involucrados en la generacion de referencia o contrareferencia lo establecido en el Manual de Referencia y Contrareferencia MI-SC-O-03-03 - (15/05/2019 - 31/12/2019)</v>
      </c>
      <c r="E104" s="0" t="str">
        <f aca="false">IFERROR(__xludf.dummyfunction("""COMPUTED_VALUE"""),"No se presentan soportes de avance de la acción, por parte de hospitalización y ambulatorios.")</f>
        <v>No se presentan soportes de avance de la acción, por parte de hospitalización y ambulatorios.</v>
      </c>
      <c r="F104" s="0" t="str">
        <f aca="false">IFERROR(__xludf.dummyfunction("""COMPUTED_VALUE"""),"Atrasado")</f>
        <v>Atrasado</v>
      </c>
    </row>
    <row r="105" customFormat="false" ht="14.25" hidden="false" customHeight="false" outlineLevel="0" collapsed="false">
      <c r="A105" s="18" t="str">
        <f aca="false">IFERROR(MID(D105,1,FIND("|",D105)-1)&amp;"-"&amp;C105,"")</f>
        <v>AICI201901-7-1-3</v>
      </c>
      <c r="B105" s="19" t="n">
        <f aca="false">IFERROR(__xludf.dummyfunction("""COMPUTED_VALUE"""),44056)</f>
        <v>44056</v>
      </c>
      <c r="C105" s="0" t="n">
        <f aca="false">IFERROR(__xludf.dummyfunction("""COMPUTED_VALUE"""),3)</f>
        <v>3</v>
      </c>
      <c r="D105" s="0" t="str">
        <f aca="false">IFERROR(__xludf.dummyfunction("""COMPUTED_VALUE"""),"AICI201901-7-1| Diseñar instructivo que defina el paso a paso para el traslado de paciente entre servicios, sin que esto implique realizar un nuevo ingreso a urgencias la la USS a donde se remite - (15/05/2019 - 31/07/2019)")</f>
        <v>AICI201901-7-1| Diseñar instructivo que defina el paso a paso para el traslado de paciente entre servicios, sin que esto implique realizar un nuevo ingreso a urgencias la la USS a donde se remite - (15/05/2019 - 31/07/2019)</v>
      </c>
      <c r="E105" s="0" t="str">
        <f aca="false">IFERROR(__xludf.dummyfunction("""COMPUTED_VALUE"""),"Esta acción se completó en los seguimientos anteriores")</f>
        <v>Esta acción se completó en los seguimientos anteriores</v>
      </c>
      <c r="F105" s="0" t="str">
        <f aca="false">IFERROR(__xludf.dummyfunction("""COMPUTED_VALUE"""),"Completo")</f>
        <v>Completo</v>
      </c>
    </row>
    <row r="106" customFormat="false" ht="14.25" hidden="false" customHeight="false" outlineLevel="0" collapsed="false">
      <c r="A106" s="18" t="str">
        <f aca="false">IFERROR(MID(D106,1,FIND("|",D106)-1)&amp;"-"&amp;C106,"")</f>
        <v>AICI201901-7-2-3</v>
      </c>
      <c r="B106" s="19" t="n">
        <f aca="false">IFERROR(__xludf.dummyfunction("""COMPUTED_VALUE"""),44056)</f>
        <v>44056</v>
      </c>
      <c r="C106" s="0" t="n">
        <f aca="false">IFERROR(__xludf.dummyfunction("""COMPUTED_VALUE"""),3)</f>
        <v>3</v>
      </c>
      <c r="D106" s="0" t="str">
        <f aca="false">IFERROR(__xludf.dummyfunction("""COMPUTED_VALUE"""),"AICI201901-7-2| Socializar instructivo que defina el paso a paso para el traslado de paciente entre servicios, sin que esto implique realizar un nuevo ingreso a urgencias la la USS a donde se remite - (31/07/2019 - 30/08/2019)")</f>
        <v>AICI201901-7-2| Socializar instructivo que defina el paso a paso para el traslado de paciente entre servicios, sin que esto implique realizar un nuevo ingreso a urgencias la la USS a donde se remite - (31/07/2019 - 30/08/2019)</v>
      </c>
      <c r="E106" s="0" t="str">
        <f aca="false">IFERROR(__xludf.dummyfunction("""COMPUTED_VALUE"""),"Esta acción se completó en los seguimientos anteriores")</f>
        <v>Esta acción se completó en los seguimientos anteriores</v>
      </c>
      <c r="F106" s="0" t="str">
        <f aca="false">IFERROR(__xludf.dummyfunction("""COMPUTED_VALUE"""),"Completo")</f>
        <v>Completo</v>
      </c>
    </row>
    <row r="107" customFormat="false" ht="14.25" hidden="false" customHeight="false" outlineLevel="0" collapsed="false">
      <c r="A107" s="18" t="str">
        <f aca="false">IFERROR(MID(D107,1,FIND("|",D107)-1)&amp;"-"&amp;C107,"")</f>
        <v>AICI201901-8-1-3</v>
      </c>
      <c r="B107" s="19" t="n">
        <f aca="false">IFERROR(__xludf.dummyfunction("""COMPUTED_VALUE"""),44056)</f>
        <v>44056</v>
      </c>
      <c r="C107" s="0" t="n">
        <f aca="false">IFERROR(__xludf.dummyfunction("""COMPUTED_VALUE"""),3)</f>
        <v>3</v>
      </c>
      <c r="D107" s="0" t="str">
        <f aca="false">IFERROR(__xludf.dummyfunction("""COMPUTED_VALUE"""),"AICI201901-8-1| Fortalecer las estrategias de comunicacion de la central de referencia con los gestores hospitalarios para que el traslado de pacientes no criticos se de con la disponibilidad confirmada de camas - (15/05/2019 - 31/12/2019)")</f>
        <v>AICI201901-8-1| Fortalecer las estrategias de comunicacion de la central de referencia con los gestores hospitalarios para que el traslado de pacientes no criticos se de con la disponibilidad confirmada de camas - (15/05/2019 - 31/12/2019)</v>
      </c>
      <c r="E107" s="0" t="str">
        <f aca="false">IFERROR(__xludf.dummyfunction("""COMPUTED_VALUE"""),"Esta acción se completó en los seguimientos anteriores")</f>
        <v>Esta acción se completó en los seguimientos anteriores</v>
      </c>
      <c r="F107" s="0" t="str">
        <f aca="false">IFERROR(__xludf.dummyfunction("""COMPUTED_VALUE"""),"Completo")</f>
        <v>Completo</v>
      </c>
    </row>
    <row r="108" customFormat="false" ht="14.25" hidden="false" customHeight="false" outlineLevel="0" collapsed="false">
      <c r="A108" s="18" t="str">
        <f aca="false">IFERROR(MID(D108,1,FIND("|",D108)-1)&amp;"-"&amp;C108,"")</f>
        <v>AICI201901-8-2-3</v>
      </c>
      <c r="B108" s="19" t="n">
        <f aca="false">IFERROR(__xludf.dummyfunction("""COMPUTED_VALUE"""),44056)</f>
        <v>44056</v>
      </c>
      <c r="C108" s="0" t="n">
        <f aca="false">IFERROR(__xludf.dummyfunction("""COMPUTED_VALUE"""),3)</f>
        <v>3</v>
      </c>
      <c r="D108" s="0" t="str">
        <f aca="false">IFERROR(__xludf.dummyfunction("""COMPUTED_VALUE"""),"AICI201901-8-2| Fortalecer las estrategias de comunicación de la central de referencia con los gestores de urgencias para que en casos de urgencias o emergencias los traslados entre sedes se notifiquepara una gestion mas agil de su atencion y no se prolog"&amp;"uen los tiempos de estancia en urgencias - (15/05/2019 - 31/12/2019)")</f>
        <v>AICI201901-8-2| Fortalecer las estrategias de comunicación de la central de referencia con los gestores de urgencias para que en casos de urgencias o emergencias los traslados entre sedes se notifiquepara una gestion mas agil de su atencion y no se prologuen los tiempos de estancia en urgencias - (15/05/2019 - 31/12/2019)</v>
      </c>
      <c r="E108" s="0" t="str">
        <f aca="false">IFERROR(__xludf.dummyfunction("""COMPUTED_VALUE"""),"Esta acción se completó en los seguimientos anteriores")</f>
        <v>Esta acción se completó en los seguimientos anteriores</v>
      </c>
      <c r="F108" s="0" t="str">
        <f aca="false">IFERROR(__xludf.dummyfunction("""COMPUTED_VALUE"""),"Completo")</f>
        <v>Completo</v>
      </c>
    </row>
    <row r="109" customFormat="false" ht="14.25" hidden="false" customHeight="false" outlineLevel="0" collapsed="false">
      <c r="A109" s="18" t="str">
        <f aca="false">IFERROR(MID(D109,1,FIND("|",D109)-1)&amp;"-"&amp;C109,"")</f>
        <v>AICI201901-9-1-3</v>
      </c>
      <c r="B109" s="19" t="n">
        <f aca="false">IFERROR(__xludf.dummyfunction("""COMPUTED_VALUE"""),44056)</f>
        <v>44056</v>
      </c>
      <c r="C109" s="0" t="n">
        <f aca="false">IFERROR(__xludf.dummyfunction("""COMPUTED_VALUE"""),3)</f>
        <v>3</v>
      </c>
      <c r="D109" s="0" t="str">
        <f aca="false">IFERROR(__xludf.dummyfunction("""COMPUTED_VALUE"""),"AICI201901-9-1| Establecer la realizacion de Rondas Admnistrativo/asistenciales de las Direcciones Hospitalizacion y Urgencias (Incluye Directores, Lideres y Gestores) con el objetivo de dinamizar el proceso de egreso de pacientes en las camas de monitore"&amp;"o continuo - (15/05/2019 - 31/12/2019)")</f>
        <v>AICI201901-9-1| Establecer la realizacion de Rondas Admnistrativo/asistenciales de las Direcciones Hospitalizacion y Urgencias (Incluye Directores, Lideres y Gestores) con el objetivo de dinamizar el proceso de egreso de pacientes en las camas de monitoreo continuo - (15/05/2019 - 31/12/2019)</v>
      </c>
      <c r="E109" s="0" t="str">
        <f aca="false">IFERROR(__xludf.dummyfunction("""COMPUTED_VALUE"""),"Se presentaron y verificaron soportes de rondas realizadas por parte de urgencias.  No se presentaron soportes por parte de hospitalización.")</f>
        <v>Se presentaron y verificaron soportes de rondas realizadas por parte de urgencias.  No se presentaron soportes por parte de hospitalización.</v>
      </c>
      <c r="F109" s="0" t="str">
        <f aca="false">IFERROR(__xludf.dummyfunction("""COMPUTED_VALUE"""),"Atrasado")</f>
        <v>Atrasado</v>
      </c>
    </row>
    <row r="110" customFormat="false" ht="14.25" hidden="false" customHeight="false" outlineLevel="0" collapsed="false">
      <c r="A110" s="18" t="str">
        <f aca="false">IFERROR(MID(D110,1,FIND("|",D110)-1)&amp;"-"&amp;C110,"")</f>
        <v>AICI201901-9-2-3</v>
      </c>
      <c r="B110" s="19" t="n">
        <f aca="false">IFERROR(__xludf.dummyfunction("""COMPUTED_VALUE"""),44056)</f>
        <v>44056</v>
      </c>
      <c r="C110" s="0" t="n">
        <f aca="false">IFERROR(__xludf.dummyfunction("""COMPUTED_VALUE"""),3)</f>
        <v>3</v>
      </c>
      <c r="D110" s="0" t="str">
        <f aca="false">IFERROR(__xludf.dummyfunction("""COMPUTED_VALUE"""),"AICI201901-9-2| Fortalecer la gestion de camas hospitalarias para priorizar los egresos de UCI a piso hospitalario como estrategia apra mover los pacientes que se encuentren en las areas de monitoreo continuo - (15/05/2019 - 31/12/2019)")</f>
        <v>AICI201901-9-2| Fortalecer la gestion de camas hospitalarias para priorizar los egresos de UCI a piso hospitalario como estrategia apra mover los pacientes que se encuentren en las areas de monitoreo continuo - (15/05/2019 - 31/12/2019)</v>
      </c>
      <c r="E110" s="0" t="str">
        <f aca="false">IFERROR(__xludf.dummyfunction("""COMPUTED_VALUE"""),"No se presentaron soportes de esta acción por parte de hospitalización.")</f>
        <v>No se presentaron soportes de esta acción por parte de hospitalización.</v>
      </c>
      <c r="F110" s="0" t="str">
        <f aca="false">IFERROR(__xludf.dummyfunction("""COMPUTED_VALUE"""),"Atrasado")</f>
        <v>Atrasado</v>
      </c>
    </row>
    <row r="111" customFormat="false" ht="14.25" hidden="false" customHeight="false" outlineLevel="0" collapsed="false">
      <c r="A111" s="18" t="str">
        <f aca="false">IFERROR(MID(D111,1,FIND("|",D111)-1)&amp;"-"&amp;C111,"")</f>
        <v>AICI201901-2-1-4</v>
      </c>
      <c r="B111" s="19" t="n">
        <f aca="false">IFERROR(__xludf.dummyfunction("""COMPUTED_VALUE"""),44613)</f>
        <v>44613</v>
      </c>
      <c r="C111" s="0" t="n">
        <f aca="false">IFERROR(__xludf.dummyfunction("""COMPUTED_VALUE"""),4)</f>
        <v>4</v>
      </c>
      <c r="D111" s="0" t="str">
        <f aca="false">IFERROR(__xludf.dummyfunction("""COMPUTED_VALUE"""),"AICI201901-2-1| Establecer la realizacion de Rondas Admnistrativo/asistenciales de las Direcciones Hospitalizacion y Urgencias (Incluye Directores, Lideres y Gestores) con el objetivo de identificar pacientes pendientes de programacion quirurgica, valorac"&amp;"ion por especialidades quirugicas y gestionar su programacion - (15/05/2019 - 31/12/2019)")</f>
        <v>AICI201901-2-1| Establecer la realizacion de Rondas Admnistrativo/asistenciales de las Direcciones Hospitalizacion y Urgencias (Incluye Directores, Lideres y Gestores) con el objetivo de identificar pacientes pendientes de programacion quirurgica, valoracion por especialidades quirugicas y gestionar su programacion - (15/05/2019 - 31/12/2019)</v>
      </c>
      <c r="E111" s="0" t="str">
        <f aca="false">IFERROR(__xludf.dummyfunction("""COMPUTED_VALUE"""),"Al analizar el cumplimiento del plan de urgencias, se observó que las acciones atrasadas de  dependen del proceso de Gestión de Servicios de Hospitalización, quienes no ha podido dar cumplimiento a las mismas, debido a la emergencia sanitaria generada por"&amp;" la Pandemia de Covid 19. En la actualidad no se prevé una fecha clara de finalización de la emergencia sanitaria y no es posible establecer cuándo podrán retornar a la normalidad los servicios hospitalarios, situación que afecta el avance de las acciones"&amp;" de mejora planteadas, por lo cual la OCI de manera conjunta con la Dirección de Urgencias concluyen que lo más razonable es cerrar el plan de mejoramiento en este punto por la imposibilidad de su ejecución.")</f>
        <v>Al analizar el cumplimiento del plan de urgencias, se observó que las acciones atrasadas de  dependen del proceso de Gestión de Servicios de Hospitalización, quienes no ha podido dar cumplimiento a las mismas, debido a la emergencia sanitaria generada por la Pandemia de Covid 19. En la actualidad no se prevé una fecha clara de finalización de la emergencia sanitaria y no es posible establecer cuándo podrán retornar a la normalidad los servicios hospitalarios, situación que afecta el avance de las acciones de mejora planteadas, por lo cual la OCI de manera conjunta con la Dirección de Urgencias concluyen que lo más razonable es cerrar el plan de mejoramiento en este punto por la imposibilidad de su ejecución.</v>
      </c>
      <c r="F111" s="0" t="str">
        <f aca="false">IFERROR(__xludf.dummyfunction("""COMPUTED_VALUE"""),"Completo")</f>
        <v>Completo</v>
      </c>
      <c r="G111" s="20" t="str">
        <f aca="false">IFERROR(__xludf.dummyfunction("""COMPUTED_VALUE"""),"https://drive.google.com/open?id=1S0YtBdXfXWjYqTxy8kxIuaaS0AAAeU1s")</f>
        <v>https://drive.google.com/open?id=1S0YtBdXfXWjYqTxy8kxIuaaS0AAAeU1s</v>
      </c>
    </row>
    <row r="112" customFormat="false" ht="14.25" hidden="false" customHeight="false" outlineLevel="0" collapsed="false">
      <c r="A112" s="18" t="str">
        <f aca="false">IFERROR(MID(D112,1,FIND("|",D112)-1)&amp;"-"&amp;C112,"")</f>
        <v>AICI201901-2-1-4</v>
      </c>
      <c r="B112" s="19" t="n">
        <f aca="false">IFERROR(__xludf.dummyfunction("""COMPUTED_VALUE"""),44613)</f>
        <v>44613</v>
      </c>
      <c r="C112" s="0" t="n">
        <f aca="false">IFERROR(__xludf.dummyfunction("""COMPUTED_VALUE"""),4)</f>
        <v>4</v>
      </c>
      <c r="D112" s="0" t="str">
        <f aca="false">IFERROR(__xludf.dummyfunction("""COMPUTED_VALUE"""),"AICI201901-2-1| Establecer la realizacion de Rondas Admnistrativo/asistenciales de las Direcciones Hospitalizacion y Urgencias (Incluye Directores, Lideres y Gestores) con el objetivo de identificar pacientes pendientes de programacion quirurgica, valorac"&amp;"ion por especialidades quirugicas y gestionar su programacion - (15/05/2019 - 31/12/2019)")</f>
        <v>AICI201901-2-1| Establecer la realizacion de Rondas Admnistrativo/asistenciales de las Direcciones Hospitalizacion y Urgencias (Incluye Directores, Lideres y Gestores) con el objetivo de identificar pacientes pendientes de programacion quirurgica, valoracion por especialidades quirugicas y gestionar su programacion - (15/05/2019 - 31/12/2019)</v>
      </c>
      <c r="E112" s="0" t="str">
        <f aca="false">IFERROR(__xludf.dummyfunction("""COMPUTED_VALUE"""),"Cerrado por la imposibilidad de su ejecución.")</f>
        <v>Cerrado por la imposibilidad de su ejecución.</v>
      </c>
      <c r="F112" s="0" t="str">
        <f aca="false">IFERROR(__xludf.dummyfunction("""COMPUTED_VALUE"""),"Completo")</f>
        <v>Completo</v>
      </c>
    </row>
    <row r="113" customFormat="false" ht="14.25" hidden="false" customHeight="false" outlineLevel="0" collapsed="false">
      <c r="A113" s="18" t="str">
        <f aca="false">IFERROR(MID(D113,1,FIND("|",D113)-1)&amp;"-"&amp;C113,"")</f>
        <v>AICI201901-2-13-4</v>
      </c>
      <c r="B113" s="19" t="n">
        <f aca="false">IFERROR(__xludf.dummyfunction("""COMPUTED_VALUE"""),44613)</f>
        <v>44613</v>
      </c>
      <c r="C113" s="0" t="n">
        <f aca="false">IFERROR(__xludf.dummyfunction("""COMPUTED_VALUE"""),4)</f>
        <v>4</v>
      </c>
      <c r="D113" s="0" t="str">
        <f aca="false">IFERROR(__xludf.dummyfunction("""COMPUTED_VALUE"""),"AICI201901-2-13| Socializar al 100% de los medicos generales y especialistas de los servicios de urgencias, hospitalizacion y quirurgicos, los criterios de inclusion al programa PAD - (15/05/2019 - 31/07/2019)")</f>
        <v>AICI201901-2-13| Socializar al 100% de los medicos generales y especialistas de los servicios de urgencias, hospitalizacion y quirurgicos, los criterios de inclusion al programa PAD - (15/05/2019 - 31/07/2019)</v>
      </c>
      <c r="E113" s="0" t="str">
        <f aca="false">IFERROR(__xludf.dummyfunction("""COMPUTED_VALUE"""),"Cerrado por la imposibilidad de su ejecución.")</f>
        <v>Cerrado por la imposibilidad de su ejecución.</v>
      </c>
      <c r="F113" s="0" t="str">
        <f aca="false">IFERROR(__xludf.dummyfunction("""COMPUTED_VALUE"""),"Completo")</f>
        <v>Completo</v>
      </c>
    </row>
    <row r="114" customFormat="false" ht="14.25" hidden="false" customHeight="false" outlineLevel="0" collapsed="false">
      <c r="A114" s="18" t="str">
        <f aca="false">IFERROR(MID(D114,1,FIND("|",D114)-1)&amp;"-"&amp;C114,"")</f>
        <v>AICI201901-2-14-4</v>
      </c>
      <c r="B114" s="19" t="n">
        <f aca="false">IFERROR(__xludf.dummyfunction("""COMPUTED_VALUE"""),44613)</f>
        <v>44613</v>
      </c>
      <c r="C114" s="0" t="n">
        <f aca="false">IFERROR(__xludf.dummyfunction("""COMPUTED_VALUE"""),4)</f>
        <v>4</v>
      </c>
      <c r="D114" s="0" t="str">
        <f aca="false">IFERROR(__xludf.dummyfunction("""COMPUTED_VALUE"""),"AICI201901-2-14| Fortalecer la participacion de los equipos de PAD en las Rondas Admnistrativas/ asistenciales definidas para identificacion de pacientes en los servicios de Hositalizacion y Urgencias suceptibles de ingresar al programa. - (15/05/2019 - 3"&amp;"1/12/2019)")</f>
        <v>AICI201901-2-14| Fortalecer la participacion de los equipos de PAD en las Rondas Admnistrativas/ asistenciales definidas para identificacion de pacientes en los servicios de Hositalizacion y Urgencias suceptibles de ingresar al programa. - (15/05/2019 - 31/12/2019)</v>
      </c>
      <c r="E114" s="0" t="str">
        <f aca="false">IFERROR(__xludf.dummyfunction("""COMPUTED_VALUE"""),"Cerrado por la imposibilidad de su ejecución.")</f>
        <v>Cerrado por la imposibilidad de su ejecución.</v>
      </c>
      <c r="F114" s="0" t="str">
        <f aca="false">IFERROR(__xludf.dummyfunction("""COMPUTED_VALUE"""),"Completo")</f>
        <v>Completo</v>
      </c>
    </row>
    <row r="115" customFormat="false" ht="14.25" hidden="false" customHeight="false" outlineLevel="0" collapsed="false">
      <c r="A115" s="18" t="str">
        <f aca="false">IFERROR(MID(D115,1,FIND("|",D115)-1)&amp;"-"&amp;C115,"")</f>
        <v>AICI201901-2-2-4</v>
      </c>
      <c r="B115" s="19" t="n">
        <f aca="false">IFERROR(__xludf.dummyfunction("""COMPUTED_VALUE"""),44613)</f>
        <v>44613</v>
      </c>
      <c r="C115" s="0" t="n">
        <f aca="false">IFERROR(__xludf.dummyfunction("""COMPUTED_VALUE"""),4)</f>
        <v>4</v>
      </c>
      <c r="D115" s="0" t="str">
        <f aca="false">IFERROR(__xludf.dummyfunction("""COMPUTED_VALUE"""),"AICI201901-2-2| Monitorizar la utilización efectiva de la capacidad instalada de salas de cirugía para tratar de optimizarla, a traves de la programación de jornadas quirúrgicas extras, para responder a la demanda, y trabajar en la priorización de pacient"&amp;"es a intervenir y diferir los menos urgentes a traves de PAD - (15/05/2019 - 31/12/2019)")</f>
        <v>AICI201901-2-2| Monitorizar la utilización efectiva de la capacidad instalada de salas de cirugía para tratar de optimizarla, a traves de la programación de jornadas quirúrgicas extras, para responder a la demanda, y trabajar en la priorización de pacientes a intervenir y diferir los menos urgentes a traves de PAD - (15/05/2019 - 31/12/2019)</v>
      </c>
      <c r="E115" s="0" t="str">
        <f aca="false">IFERROR(__xludf.dummyfunction("""COMPUTED_VALUE"""),"Cerrado por la imposibilidad de su ejecución.")</f>
        <v>Cerrado por la imposibilidad de su ejecución.</v>
      </c>
      <c r="F115" s="0" t="str">
        <f aca="false">IFERROR(__xludf.dummyfunction("""COMPUTED_VALUE"""),"Completo")</f>
        <v>Completo</v>
      </c>
    </row>
    <row r="116" customFormat="false" ht="14.25" hidden="false" customHeight="false" outlineLevel="0" collapsed="false">
      <c r="A116" s="18" t="str">
        <f aca="false">IFERROR(MID(D116,1,FIND("|",D116)-1)&amp;"-"&amp;C116,"")</f>
        <v>AICI201901-2-3-4</v>
      </c>
      <c r="B116" s="19" t="n">
        <f aca="false">IFERROR(__xludf.dummyfunction("""COMPUTED_VALUE"""),44613)</f>
        <v>44613</v>
      </c>
      <c r="C116" s="0" t="n">
        <f aca="false">IFERROR(__xludf.dummyfunction("""COMPUTED_VALUE"""),4)</f>
        <v>4</v>
      </c>
      <c r="D116" s="0" t="str">
        <f aca="false">IFERROR(__xludf.dummyfunction("""COMPUTED_VALUE"""),"AICI201901-2-3| Establecer este ejercicio de forma periodica una vez por semana con directores y diario entre lideres y gestores con realizacion de actas de seguimiento al cumplimiento a esta estrategia - (15/05/2019 - 31/12/2019)")</f>
        <v>AICI201901-2-3| Establecer este ejercicio de forma periodica una vez por semana con directores y diario entre lideres y gestores con realizacion de actas de seguimiento al cumplimiento a esta estrategia - (15/05/2019 - 31/12/2019)</v>
      </c>
      <c r="E116" s="0" t="str">
        <f aca="false">IFERROR(__xludf.dummyfunction("""COMPUTED_VALUE"""),"Cerrado por la imposibilidad de su ejecución.")</f>
        <v>Cerrado por la imposibilidad de su ejecución.</v>
      </c>
      <c r="F116" s="0" t="str">
        <f aca="false">IFERROR(__xludf.dummyfunction("""COMPUTED_VALUE"""),"Completo")</f>
        <v>Completo</v>
      </c>
    </row>
    <row r="117" customFormat="false" ht="14.25" hidden="false" customHeight="false" outlineLevel="0" collapsed="false">
      <c r="A117" s="18" t="str">
        <f aca="false">IFERROR(MID(D117,1,FIND("|",D117)-1)&amp;"-"&amp;C117,"")</f>
        <v>AICI201901-2-4-4</v>
      </c>
      <c r="B117" s="19" t="n">
        <f aca="false">IFERROR(__xludf.dummyfunction("""COMPUTED_VALUE"""),44613)</f>
        <v>44613</v>
      </c>
      <c r="C117" s="0" t="n">
        <f aca="false">IFERROR(__xludf.dummyfunction("""COMPUTED_VALUE"""),4)</f>
        <v>4</v>
      </c>
      <c r="D117" s="0" t="str">
        <f aca="false">IFERROR(__xludf.dummyfunction("""COMPUTED_VALUE"""),"AICI201901-2-4| Establecer la realizacion de Rondas Admnistrativo /asistenciales de las Direcciones Hospitalizacion , Urgencias y las Oficinas de Admisiones y Prticipacion social y servicio al ciudadano. (Incluye Directores, Lideres y Gestores) con el obj"&amp;"etivo de dinamizar el proceso de egreso de pacientes - (15/05/2019 - 31/12/2019)")</f>
        <v>AICI201901-2-4| Establecer la realizacion de Rondas Admnistrativo /asistenciales de las Direcciones Hospitalizacion , Urgencias y las Oficinas de Admisiones y Prticipacion social y servicio al ciudadano. (Incluye Directores, Lideres y Gestores) con el objetivo de dinamizar el proceso de egreso de pacientes - (15/05/2019 - 31/12/2019)</v>
      </c>
      <c r="E117" s="0" t="str">
        <f aca="false">IFERROR(__xludf.dummyfunction("""COMPUTED_VALUE"""),"Cerrado por la imposibilidad de su ejecución.")</f>
        <v>Cerrado por la imposibilidad de su ejecución.</v>
      </c>
      <c r="F117" s="0" t="str">
        <f aca="false">IFERROR(__xludf.dummyfunction("""COMPUTED_VALUE"""),"Completo")</f>
        <v>Completo</v>
      </c>
    </row>
    <row r="118" customFormat="false" ht="14.25" hidden="false" customHeight="false" outlineLevel="0" collapsed="false">
      <c r="A118" s="18" t="str">
        <f aca="false">IFERROR(MID(D118,1,FIND("|",D118)-1)&amp;"-"&amp;C118,"")</f>
        <v>AICI201901-2-5-4</v>
      </c>
      <c r="B118" s="19" t="n">
        <f aca="false">IFERROR(__xludf.dummyfunction("""COMPUTED_VALUE"""),44613)</f>
        <v>44613</v>
      </c>
      <c r="C118" s="0" t="n">
        <f aca="false">IFERROR(__xludf.dummyfunction("""COMPUTED_VALUE"""),4)</f>
        <v>4</v>
      </c>
      <c r="D118" s="0" t="str">
        <f aca="false">IFERROR(__xludf.dummyfunction("""COMPUTED_VALUE"""),"AICI201901-2-5| Fortalecer con los profesionales especialistas y medicos genrales la canalizacion de usuarios al Programa de atencion domiciiaria (PAD) como estragia para el Egreso de pacientes de bajo riesgo o aquellos en lo que se puede generar alta tem"&amp;"prana segun los criterios de inclusion en el programa - (15/05/2019 - 31/12/2019)")</f>
        <v>AICI201901-2-5| Fortalecer con los profesionales especialistas y medicos genrales la canalizacion de usuarios al Programa de atencion domiciiaria (PAD) como estragia para el Egreso de pacientes de bajo riesgo o aquellos en lo que se puede generar alta temprana segun los criterios de inclusion en el programa - (15/05/2019 - 31/12/2019)</v>
      </c>
      <c r="E118" s="0" t="str">
        <f aca="false">IFERROR(__xludf.dummyfunction("""COMPUTED_VALUE"""),"Cerrado por la imposibilidad de su ejecución.")</f>
        <v>Cerrado por la imposibilidad de su ejecución.</v>
      </c>
      <c r="F118" s="0" t="str">
        <f aca="false">IFERROR(__xludf.dummyfunction("""COMPUTED_VALUE"""),"Completo")</f>
        <v>Completo</v>
      </c>
    </row>
    <row r="119" customFormat="false" ht="14.25" hidden="false" customHeight="false" outlineLevel="0" collapsed="false">
      <c r="A119" s="18" t="str">
        <f aca="false">IFERROR(MID(D119,1,FIND("|",D119)-1)&amp;"-"&amp;C119,"")</f>
        <v>AICI201901-2-6-4</v>
      </c>
      <c r="B119" s="19" t="n">
        <f aca="false">IFERROR(__xludf.dummyfunction("""COMPUTED_VALUE"""),44613)</f>
        <v>44613</v>
      </c>
      <c r="C119" s="0" t="n">
        <f aca="false">IFERROR(__xludf.dummyfunction("""COMPUTED_VALUE"""),4)</f>
        <v>4</v>
      </c>
      <c r="D119" s="0" t="str">
        <f aca="false">IFERROR(__xludf.dummyfunction("""COMPUTED_VALUE"""),"AICI201901-2-6| Revisar y actualizar el procedimineto de egreso, como estrategia para disminuir los tiempos prolongados en la generacion del egreso hospitalario incluye la medicion de tiempos y su estandarzacion. - (15/05/2019 - 31/12/2019)")</f>
        <v>AICI201901-2-6| Revisar y actualizar el procedimineto de egreso, como estrategia para disminuir los tiempos prolongados en la generacion del egreso hospitalario incluye la medicion de tiempos y su estandarzacion. - (15/05/2019 - 31/12/2019)</v>
      </c>
      <c r="E119" s="0" t="str">
        <f aca="false">IFERROR(__xludf.dummyfunction("""COMPUTED_VALUE"""),"Cerrado por la imposibilidad de su ejecución.")</f>
        <v>Cerrado por la imposibilidad de su ejecución.</v>
      </c>
      <c r="F119" s="0" t="str">
        <f aca="false">IFERROR(__xludf.dummyfunction("""COMPUTED_VALUE"""),"Completo")</f>
        <v>Completo</v>
      </c>
    </row>
    <row r="120" customFormat="false" ht="14.25" hidden="false" customHeight="false" outlineLevel="0" collapsed="false">
      <c r="A120" s="18" t="str">
        <f aca="false">IFERROR(MID(D120,1,FIND("|",D120)-1)&amp;"-"&amp;C120,"")</f>
        <v>AICI201901-2-7-4</v>
      </c>
      <c r="B120" s="19" t="n">
        <f aca="false">IFERROR(__xludf.dummyfunction("""COMPUTED_VALUE"""),44613)</f>
        <v>44613</v>
      </c>
      <c r="C120" s="0" t="n">
        <f aca="false">IFERROR(__xludf.dummyfunction("""COMPUTED_VALUE"""),4)</f>
        <v>4</v>
      </c>
      <c r="D120" s="0" t="str">
        <f aca="false">IFERROR(__xludf.dummyfunction("""COMPUTED_VALUE"""),"AICI201901-2-7| Establecer este ejercicio de forma periodica una vez por semana con directores y diario entre lideres y gestores con realizacion de actas de seguimiento al cumplimiento a esta estrategia - (15/05/2019 - 31/12/2019)")</f>
        <v>AICI201901-2-7| Establecer este ejercicio de forma periodica una vez por semana con directores y diario entre lideres y gestores con realizacion de actas de seguimiento al cumplimiento a esta estrategia - (15/05/2019 - 31/12/2019)</v>
      </c>
      <c r="E120" s="0" t="str">
        <f aca="false">IFERROR(__xludf.dummyfunction("""COMPUTED_VALUE"""),"Cerrado por la imposibilidad de su ejecución.")</f>
        <v>Cerrado por la imposibilidad de su ejecución.</v>
      </c>
      <c r="F120" s="0" t="str">
        <f aca="false">IFERROR(__xludf.dummyfunction("""COMPUTED_VALUE"""),"Completo")</f>
        <v>Completo</v>
      </c>
    </row>
    <row r="121" customFormat="false" ht="14.25" hidden="false" customHeight="false" outlineLevel="0" collapsed="false">
      <c r="A121" s="18" t="str">
        <f aca="false">IFERROR(MID(D121,1,FIND("|",D121)-1)&amp;"-"&amp;C121,"")</f>
        <v>AICI201901-2-8-4</v>
      </c>
      <c r="B121" s="19" t="n">
        <f aca="false">IFERROR(__xludf.dummyfunction("""COMPUTED_VALUE"""),44613)</f>
        <v>44613</v>
      </c>
      <c r="C121" s="0" t="n">
        <f aca="false">IFERROR(__xludf.dummyfunction("""COMPUTED_VALUE"""),4)</f>
        <v>4</v>
      </c>
      <c r="D121" s="0" t="str">
        <f aca="false">IFERROR(__xludf.dummyfunction("""COMPUTED_VALUE"""),"AICI201901-2-8| Establecer la realizacion de Rondas Admnistrativo/asistenciales de las Direcciones Hospitalizacion y Urgencias (Incluye Directores, Lideres y Gestores) con el objetivo de identificar pacientes con demoras en la realizacion de estos procedi"&amp;"mientos en el servicio de urgencias y gestionar su realizacion - (15/05/2019 - 31/12/2019)")</f>
        <v>AICI201901-2-8| Establecer la realizacion de Rondas Admnistrativo/asistenciales de las Direcciones Hospitalizacion y Urgencias (Incluye Directores, Lideres y Gestores) con el objetivo de identificar pacientes con demoras en la realizacion de estos procedimientos en el servicio de urgencias y gestionar su realizacion - (15/05/2019 - 31/12/2019)</v>
      </c>
      <c r="E121" s="0" t="str">
        <f aca="false">IFERROR(__xludf.dummyfunction("""COMPUTED_VALUE"""),"Cerrado por la imposibilidad de su ejecución.")</f>
        <v>Cerrado por la imposibilidad de su ejecución.</v>
      </c>
      <c r="F121" s="0" t="str">
        <f aca="false">IFERROR(__xludf.dummyfunction("""COMPUTED_VALUE"""),"Completo")</f>
        <v>Completo</v>
      </c>
    </row>
    <row r="122" customFormat="false" ht="14.25" hidden="false" customHeight="false" outlineLevel="0" collapsed="false">
      <c r="A122" s="18" t="str">
        <f aca="false">IFERROR(MID(D122,1,FIND("|",D122)-1)&amp;"-"&amp;C122,"")</f>
        <v>AICI201901-2-9-4</v>
      </c>
      <c r="B122" s="19" t="n">
        <f aca="false">IFERROR(__xludf.dummyfunction("""COMPUTED_VALUE"""),44613)</f>
        <v>44613</v>
      </c>
      <c r="C122" s="0" t="n">
        <f aca="false">IFERROR(__xludf.dummyfunction("""COMPUTED_VALUE"""),4)</f>
        <v>4</v>
      </c>
      <c r="D122" s="0" t="str">
        <f aca="false">IFERROR(__xludf.dummyfunction("""COMPUTED_VALUE"""),"AICI201901-2-9| Publicar en los servicios de urgencias los horarios y dias de disponibilidad para la realizacion de procedimientos intermedios y la USS donde se realicen para que los equipos asistenciales puedan identificar a donde se prestan los servicio"&amp;"s y as informar de manera correcta los usuarios sobre la programacion de estos procedimientos y se pueda gestionar su realizacion - (15/05/2019 - 31/12/2019)")</f>
        <v>AICI201901-2-9| Publicar en los servicios de urgencias los horarios y dias de disponibilidad para la realizacion de procedimientos intermedios y la USS donde se realicen para que los equipos asistenciales puedan identificar a donde se prestan los servicios y as informar de manera correcta los usuarios sobre la programacion de estos procedimientos y se pueda gestionar su realizacion - (15/05/2019 - 31/12/2019)</v>
      </c>
      <c r="E122" s="0" t="str">
        <f aca="false">IFERROR(__xludf.dummyfunction("""COMPUTED_VALUE"""),"Cerrado por la imposibilidad de su ejecución.")</f>
        <v>Cerrado por la imposibilidad de su ejecución.</v>
      </c>
      <c r="F122" s="0" t="str">
        <f aca="false">IFERROR(__xludf.dummyfunction("""COMPUTED_VALUE"""),"Completo")</f>
        <v>Completo</v>
      </c>
    </row>
    <row r="123" customFormat="false" ht="14.25" hidden="false" customHeight="false" outlineLevel="0" collapsed="false">
      <c r="A123" s="18" t="str">
        <f aca="false">IFERROR(MID(D123,1,FIND("|",D123)-1)&amp;"-"&amp;C123,"")</f>
        <v>AICI201901-5-2-4</v>
      </c>
      <c r="B123" s="19" t="n">
        <f aca="false">IFERROR(__xludf.dummyfunction("""COMPUTED_VALUE"""),44613)</f>
        <v>44613</v>
      </c>
      <c r="C123" s="0" t="n">
        <f aca="false">IFERROR(__xludf.dummyfunction("""COMPUTED_VALUE"""),4)</f>
        <v>4</v>
      </c>
      <c r="D123" s="0" t="str">
        <f aca="false">IFERROR(__xludf.dummyfunction("""COMPUTED_VALUE"""),"AICI201901-5-2| Socializar a todo el grupo de medicos Especialistas que responden interconsultas en los servicios de urgencias su obligacion de informmar al personal de urgencias cuales son las desiciones y planes de manejo a seguir con los pacientes inte"&amp;"rconsultados para garantizar la continuidad de los servicios y tratamientos uno de los atributos de la calidad de la atencion - (15/05/2019 - 31/07/2019)")</f>
        <v>AICI201901-5-2| Socializar a todo el grupo de medicos Especialistas que responden interconsultas en los servicios de urgencias su obligacion de informmar al personal de urgencias cuales son las desiciones y planes de manejo a seguir con los pacientes interconsultados para garantizar la continuidad de los servicios y tratamientos uno de los atributos de la calidad de la atencion - (15/05/2019 - 31/07/2019)</v>
      </c>
      <c r="E123" s="0" t="str">
        <f aca="false">IFERROR(__xludf.dummyfunction("""COMPUTED_VALUE"""),"Cerrado por la imposibilidad de su ejecución.")</f>
        <v>Cerrado por la imposibilidad de su ejecución.</v>
      </c>
      <c r="F123" s="0" t="str">
        <f aca="false">IFERROR(__xludf.dummyfunction("""COMPUTED_VALUE"""),"Completo")</f>
        <v>Completo</v>
      </c>
    </row>
    <row r="124" customFormat="false" ht="14.25" hidden="false" customHeight="false" outlineLevel="0" collapsed="false">
      <c r="A124" s="18" t="str">
        <f aca="false">IFERROR(MID(D124,1,FIND("|",D124)-1)&amp;"-"&amp;C124,"")</f>
        <v>AICI201901-5-4-4</v>
      </c>
      <c r="B124" s="19" t="n">
        <f aca="false">IFERROR(__xludf.dummyfunction("""COMPUTED_VALUE"""),44613)</f>
        <v>44613</v>
      </c>
      <c r="C124" s="0" t="n">
        <f aca="false">IFERROR(__xludf.dummyfunction("""COMPUTED_VALUE"""),4)</f>
        <v>4</v>
      </c>
      <c r="D124" s="0" t="str">
        <f aca="false">IFERROR(__xludf.dummyfunction("""COMPUTED_VALUE"""),"AICI201901-5-4| Evaluar el conocimiento de lo establecido en el instructivo de solicitud de interconsulta MI-GH-I-2204 al 100% de los Medicos generales y Especialistas que estan involucrados en la generacion y respuesta de interconsultas el - (15/05/2019 "&amp;"- 31/07/2019)")</f>
        <v>AICI201901-5-4| Evaluar el conocimiento de lo establecido en el instructivo de solicitud de interconsulta MI-GH-I-2204 al 100% de los Medicos generales y Especialistas que estan involucrados en la generacion y respuesta de interconsultas el - (15/05/2019 - 31/07/2019)</v>
      </c>
      <c r="E124" s="0" t="str">
        <f aca="false">IFERROR(__xludf.dummyfunction("""COMPUTED_VALUE"""),"Cerrado por la imposibilidad de su ejecución.")</f>
        <v>Cerrado por la imposibilidad de su ejecución.</v>
      </c>
      <c r="F124" s="0" t="str">
        <f aca="false">IFERROR(__xludf.dummyfunction("""COMPUTED_VALUE"""),"Completo")</f>
        <v>Completo</v>
      </c>
    </row>
    <row r="125" customFormat="false" ht="14.25" hidden="false" customHeight="false" outlineLevel="0" collapsed="false">
      <c r="A125" s="18" t="str">
        <f aca="false">IFERROR(MID(D125,1,FIND("|",D125)-1)&amp;"-"&amp;C125,"")</f>
        <v>AICI201901-6-5-4</v>
      </c>
      <c r="B125" s="19" t="n">
        <f aca="false">IFERROR(__xludf.dummyfunction("""COMPUTED_VALUE"""),44613)</f>
        <v>44613</v>
      </c>
      <c r="C125" s="0" t="n">
        <f aca="false">IFERROR(__xludf.dummyfunction("""COMPUTED_VALUE"""),4)</f>
        <v>4</v>
      </c>
      <c r="D125" s="0" t="str">
        <f aca="false">IFERROR(__xludf.dummyfunction("""COMPUTED_VALUE"""),"AICI201901-6-5| Socializar al 100% de los Medicos generales y Especialistas que estan involucrados en la generacion de referencia o contrareferencia lo establecido en el Manual de Referencia y Contrareferencia MI-SC-O-03-03 - (15/05/2019 - 31/12/2019)")</f>
        <v>AICI201901-6-5| Socializar al 100% de los Medicos generales y Especialistas que estan involucrados en la generacion de referencia o contrareferencia lo establecido en el Manual de Referencia y Contrareferencia MI-SC-O-03-03 - (15/05/2019 - 31/12/2019)</v>
      </c>
      <c r="E125" s="0" t="str">
        <f aca="false">IFERROR(__xludf.dummyfunction("""COMPUTED_VALUE"""),"Cerrado por la imposibilidad de su ejecución.")</f>
        <v>Cerrado por la imposibilidad de su ejecución.</v>
      </c>
      <c r="F125" s="0" t="str">
        <f aca="false">IFERROR(__xludf.dummyfunction("""COMPUTED_VALUE"""),"Completo")</f>
        <v>Completo</v>
      </c>
    </row>
    <row r="126" customFormat="false" ht="14.25" hidden="false" customHeight="false" outlineLevel="0" collapsed="false">
      <c r="A126" s="18" t="str">
        <f aca="false">IFERROR(MID(D126,1,FIND("|",D126)-1)&amp;"-"&amp;C126,"")</f>
        <v>AICI201901-9-1-4</v>
      </c>
      <c r="B126" s="19" t="n">
        <f aca="false">IFERROR(__xludf.dummyfunction("""COMPUTED_VALUE"""),44613)</f>
        <v>44613</v>
      </c>
      <c r="C126" s="0" t="n">
        <f aca="false">IFERROR(__xludf.dummyfunction("""COMPUTED_VALUE"""),4)</f>
        <v>4</v>
      </c>
      <c r="D126" s="0" t="str">
        <f aca="false">IFERROR(__xludf.dummyfunction("""COMPUTED_VALUE"""),"AICI201901-9-1| Establecer la realizacion de Rondas Admnistrativo/asistenciales de las Direcciones Hospitalizacion y Urgencias (Incluye Directores, Lideres y Gestores) con el objetivo de dinamizar el proceso de egreso de pacientes en las camas de monitore"&amp;"o continuo - (15/05/2019 - 31/12/2019)")</f>
        <v>AICI201901-9-1| Establecer la realizacion de Rondas Admnistrativo/asistenciales de las Direcciones Hospitalizacion y Urgencias (Incluye Directores, Lideres y Gestores) con el objetivo de dinamizar el proceso de egreso de pacientes en las camas de monitoreo continuo - (15/05/2019 - 31/12/2019)</v>
      </c>
      <c r="E126" s="0" t="str">
        <f aca="false">IFERROR(__xludf.dummyfunction("""COMPUTED_VALUE"""),"Cerrado por la imposibilidad de su ejecución.")</f>
        <v>Cerrado por la imposibilidad de su ejecución.</v>
      </c>
      <c r="F126" s="0" t="str">
        <f aca="false">IFERROR(__xludf.dummyfunction("""COMPUTED_VALUE"""),"Completo")</f>
        <v>Completo</v>
      </c>
    </row>
    <row r="127" customFormat="false" ht="14.25" hidden="false" customHeight="false" outlineLevel="0" collapsed="false">
      <c r="A127" s="18" t="str">
        <f aca="false">IFERROR(MID(D127,1,FIND("|",D127)-1)&amp;"-"&amp;C127,"")</f>
        <v>AICI201901-9-2-4</v>
      </c>
      <c r="B127" s="19" t="n">
        <f aca="false">IFERROR(__xludf.dummyfunction("""COMPUTED_VALUE"""),44613)</f>
        <v>44613</v>
      </c>
      <c r="C127" s="0" t="n">
        <f aca="false">IFERROR(__xludf.dummyfunction("""COMPUTED_VALUE"""),4)</f>
        <v>4</v>
      </c>
      <c r="D127" s="0" t="str">
        <f aca="false">IFERROR(__xludf.dummyfunction("""COMPUTED_VALUE"""),"AICI201901-9-2| Fortalecer la gestion de camas hospitalarias para priorizar los egresos de UCI a piso hospitalario como estrategia apra mover los pacientes que se encuentren en las areas de monitoreo continuo - (15/05/2019 - 31/12/2019)")</f>
        <v>AICI201901-9-2| Fortalecer la gestion de camas hospitalarias para priorizar los egresos de UCI a piso hospitalario como estrategia apra mover los pacientes que se encuentren en las areas de monitoreo continuo - (15/05/2019 - 31/12/2019)</v>
      </c>
      <c r="E127" s="0" t="str">
        <f aca="false">IFERROR(__xludf.dummyfunction("""COMPUTED_VALUE"""),"Cerrado por la imposibilidad de su ejecución.")</f>
        <v>Cerrado por la imposibilidad de su ejecución.</v>
      </c>
      <c r="F127" s="0" t="str">
        <f aca="false">IFERROR(__xludf.dummyfunction("""COMPUTED_VALUE"""),"Completo")</f>
        <v>Completo</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sheetData>
  <hyperlinks>
    <hyperlink ref="G4" r:id="rId1" display="https://drive.google.com/open?id=1SRkUCmONm-g-r4iwZjZq7tf7jrb7NSQv"/>
    <hyperlink ref="G7" r:id="rId2" display="https://drive.google.com/open?id=1mgJj7QdFU0Y-oOvTnPUbaqa3hlz1MUst"/>
    <hyperlink ref="G8" r:id="rId3" display="https://drive.google.com/open?id=1_Wl2TJa3oETdT3uZvRSLAb_0Bn-5ko3x"/>
    <hyperlink ref="G12" r:id="rId4" display="https://drive.google.com/open?id=1JQiOEtgk3bjk5ZFy5KHcalK5SqIM02pB"/>
    <hyperlink ref="G34" r:id="rId5" display="https://drive.google.com/open?id=1E7iErIPo2Tl9zUfYGaVt2wq9Sdp5Zsa9"/>
    <hyperlink ref="G39" r:id="rId6" display="https://drive.google.com/open?id=1bxSXp6tyY84bphyAtXPxIXdoEqXsjaJw"/>
    <hyperlink ref="G42" r:id="rId7" display="https://drive.google.com/open?id=1AADAxKa7cHLOnvB1z_Y75nE1ViDLKmtl"/>
    <hyperlink ref="G43" r:id="rId8" display="https://drive.google.com/open?id=1tzObtzSdTgiv12aiEvxf_j-ziyV4nbNd"/>
    <hyperlink ref="G57" r:id="rId9" display="https://drive.google.com/open?id=1bd9ohK_TLTphL04BDh63JsT2lz1ygpIY"/>
    <hyperlink ref="G66" r:id="rId10" display="https://drive.google.com/open?id=119_O-sGhtzS1OYTsXj3wSUwc0ICB7yBV"/>
    <hyperlink ref="G111" r:id="rId11" display="https://drive.google.com/open?id=1S0YtBdXfXWjYqTxy8kxIuaaS0AAAeU1s"/>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sheetData>
    <row r="1" customFormat="false" ht="12.75" hidden="false" customHeight="false" outlineLevel="0" collapsed="false">
      <c r="A1" s="13" t="s">
        <v>1837</v>
      </c>
      <c r="B1" s="13" t="s">
        <v>1838</v>
      </c>
      <c r="C1" s="13" t="s">
        <v>1839</v>
      </c>
      <c r="D1" s="13" t="s">
        <v>1840</v>
      </c>
      <c r="E1" s="13" t="s">
        <v>1841</v>
      </c>
      <c r="F1" s="13" t="s">
        <v>1842</v>
      </c>
      <c r="G1" s="13" t="s">
        <v>1843</v>
      </c>
    </row>
    <row r="2" customFormat="false" ht="10.5" hidden="false" customHeight="true" outlineLevel="0" collapsed="false">
      <c r="A2" s="17"/>
      <c r="B2" s="17"/>
      <c r="C2" s="17"/>
      <c r="D2" s="17"/>
      <c r="E2" s="17"/>
      <c r="F2" s="17"/>
      <c r="G2" s="17"/>
    </row>
    <row r="3" customFormat="false" ht="12.75" hidden="false" customHeight="false" outlineLevel="0" collapsed="false">
      <c r="A3" s="13" t="s">
        <v>1836</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AICI201902-1-1-1</v>
      </c>
      <c r="B4" s="19" t="n">
        <f aca="false">IFERROR(__xludf.dummyfunction("""COMPUTED_VALUE"""),43741)</f>
        <v>43741</v>
      </c>
      <c r="C4" s="0" t="n">
        <f aca="false">IFERROR(__xludf.dummyfunction("""COMPUTED_VALUE"""),1)</f>
        <v>1</v>
      </c>
      <c r="D4" s="0" t="str">
        <f aca="false">IFERROR(__xludf.dummyfunction("""COMPUTED_VALUE"""),"AICI201902-1-1| Articular mediante reunion con la Oficina de Sistema de Informacion TICS, las acciones para efectuar induccion, reinduccion y despliegue de parametros contenidos en ley 1712 de 2014, relacionado con inventario de activos de informacion, di"&amp;"rigido al equipo de Gestion del Riesgo en Salud - 30/10/2019")</f>
        <v>AICI201902-1-1| Articular mediante reunion con la Oficina de Sistema de Informacion TICS, las acciones para efectuar induccion, reinduccion y despliegue de parametros contenidos en ley 1712 de 2014, relacionado con inventario de activos de informacion, dirigido al equipo de Gestion del Riesgo en Salud - 30/10/2019</v>
      </c>
      <c r="E4" s="0" t="str">
        <f aca="false">IFERROR(__xludf.dummyfunction("""COMPUTED_VALUE"""),"Se realizó capacitación sobre TICS en comité directivo el día 30 de Septiembre,en la cual se realizó pre test y post,pendiente envío del acta mañana 4 de octubre")</f>
        <v>Se realizó capacitación sobre TICS en comité directivo el día 30 de Septiembre,en la cual se realizó pre test y post,pendiente envío del acta mañana 4 de octubre</v>
      </c>
      <c r="F4" s="0" t="str">
        <f aca="false">IFERROR(__xludf.dummyfunction("""COMPUTED_VALUE"""),"En desarrollo")</f>
        <v>En desarrollo</v>
      </c>
    </row>
    <row r="5" customFormat="false" ht="14.25" hidden="false" customHeight="false" outlineLevel="0" collapsed="false">
      <c r="A5" s="18" t="str">
        <f aca="false">IFERROR(MID(D5,1,FIND("|",D5)-1)&amp;"-"&amp;C5,"")</f>
        <v>AICI201902-2-1-1</v>
      </c>
      <c r="B5" s="19" t="n">
        <f aca="false">IFERROR(__xludf.dummyfunction("""COMPUTED_VALUE"""),43741)</f>
        <v>43741</v>
      </c>
      <c r="C5" s="0" t="n">
        <f aca="false">IFERROR(__xludf.dummyfunction("""COMPUTED_VALUE"""),1)</f>
        <v>1</v>
      </c>
      <c r="D5" s="0" t="str">
        <f aca="false">IFERROR(__xludf.dummyfunction("""COMPUTED_VALUE"""),"AICI201902-2-1| Articular mediante reunion con la Oficina de Sistema de Informacion TICS, las acciones para efectuar induccion, reinduccion y despliegue de políticas, procedimientos, instructivos y demás herramientas metodológicas generados por la oficina"&amp;" de TIC’s en cuanto a procesamiento, custodia y tratamiento de datos, dirigido al equipo de Gestion del Riesgo en Salud - 30/10/2019")</f>
        <v>AICI201902-2-1| Articular mediante reunion con la Oficina de Sistema de Informacion TICS, las acciones para efectuar induccion, reinduccion y despliegue de políticas, procedimientos, instructivos y demás herramientas metodológicas generados por la oficina de TIC’s en cuanto a procesamiento, custodia y tratamiento de datos, dirigido al equipo de Gestion del Riesgo en Salud - 30/10/2019</v>
      </c>
      <c r="E5" s="0" t="str">
        <f aca="false">IFERROR(__xludf.dummyfunction("""COMPUTED_VALUE"""),"capacitación en comité directivo,pendiente acta de capacitación")</f>
        <v>capacitación en comité directivo,pendiente acta de capacitación</v>
      </c>
      <c r="F5" s="0" t="str">
        <f aca="false">IFERROR(__xludf.dummyfunction("""COMPUTED_VALUE"""),"En desarrollo")</f>
        <v>En desarrollo</v>
      </c>
    </row>
    <row r="6" customFormat="false" ht="14.25" hidden="false" customHeight="false" outlineLevel="0" collapsed="false">
      <c r="A6" s="18" t="str">
        <f aca="false">IFERROR(MID(D6,1,FIND("|",D6)-1)&amp;"-"&amp;C6,"")</f>
        <v>AICI201902-3-1-1</v>
      </c>
      <c r="B6" s="19" t="n">
        <f aca="false">IFERROR(__xludf.dummyfunction("""COMPUTED_VALUE"""),43741)</f>
        <v>43741</v>
      </c>
      <c r="C6" s="0" t="n">
        <f aca="false">IFERROR(__xludf.dummyfunction("""COMPUTED_VALUE"""),1)</f>
        <v>1</v>
      </c>
      <c r="D6" s="0" t="str">
        <f aca="false">IFERROR(__xludf.dummyfunction("""COMPUTED_VALUE"""),"AICI201902-3-1| Articular mediante reunion con la Oficina de Sistema de Informacion TICS las acciones para efectuar induccion, reinduccion y despliegue de política y protocolos en la toma de copias de seguridad, a fin de prevenir riesgo en pérdida y deter"&amp;"ioro de información, dirigido al equipo de Gestion del Riesgo en Salud - 30/10/2019")</f>
        <v>AICI201902-3-1| Articular mediante reunion con la Oficina de Sistema de Informacion TICS las acciones para efectuar induccion, reinduccion y despliegue de política y protocolos en la toma de copias de seguridad, a fin de prevenir riesgo en pérdida y deterioro de información, dirigido al equipo de Gestion del Riesgo en Salud - 30/10/2019</v>
      </c>
      <c r="E6" s="0" t="str">
        <f aca="false">IFERROR(__xludf.dummyfunction("""COMPUTED_VALUE"""),"capacitación en comité ditectivo pendiente acta")</f>
        <v>capacitación en comité ditectivo pendiente acta</v>
      </c>
      <c r="F6" s="0" t="str">
        <f aca="false">IFERROR(__xludf.dummyfunction("""COMPUTED_VALUE"""),"En desarrollo")</f>
        <v>En desarrollo</v>
      </c>
    </row>
    <row r="7" customFormat="false" ht="14.25" hidden="false" customHeight="false" outlineLevel="0" collapsed="false">
      <c r="A7" s="18" t="str">
        <f aca="false">IFERROR(MID(D7,1,FIND("|",D7)-1)&amp;"-"&amp;C7,"")</f>
        <v>AICI201902-4-1-1</v>
      </c>
      <c r="B7" s="19" t="n">
        <f aca="false">IFERROR(__xludf.dummyfunction("""COMPUTED_VALUE"""),43741)</f>
        <v>43741</v>
      </c>
      <c r="C7" s="0" t="n">
        <f aca="false">IFERROR(__xludf.dummyfunction("""COMPUTED_VALUE"""),1)</f>
        <v>1</v>
      </c>
      <c r="D7" s="0" t="str">
        <f aca="false">IFERROR(__xludf.dummyfunction("""COMPUTED_VALUE"""),"AICI201902-4-1| Revisar el procedimiento para cargar al SDQS todos los requerimientos, solicitudes, peticiones, quejas o reclamos y socializar al equipo de la Direccion de Gestion del riesgo en Salud - 31/12/2019")</f>
        <v>AICI201902-4-1| Revisar el procedimiento para cargar al SDQS todos los requerimientos, solicitudes, peticiones, quejas o reclamos y socializar al equipo de la Direccion de Gestion del riesgo en Salud - 31/12/2019</v>
      </c>
      <c r="E7" s="0" t="str">
        <f aca="false">IFERROR(__xludf.dummyfunction("""COMPUTED_VALUE"""),"Se reunieron con Gestión documental y se espera la implementación del nuevo Orfeo,pendiente nueva reunión con Gestión documental,PIC y Gestión del riesgo")</f>
        <v>Se reunieron con Gestión documental y se espera la implementación del nuevo Orfeo,pendiente nueva reunión con Gestión documental,PIC y Gestión del riesgo</v>
      </c>
      <c r="F7" s="0" t="str">
        <f aca="false">IFERROR(__xludf.dummyfunction("""COMPUTED_VALUE"""),"En desarrollo")</f>
        <v>En desarrollo</v>
      </c>
    </row>
    <row r="8" customFormat="false" ht="14.25" hidden="false" customHeight="false" outlineLevel="0" collapsed="false">
      <c r="A8" s="18" t="str">
        <f aca="false">IFERROR(MID(D8,1,FIND("|",D8)-1)&amp;"-"&amp;C8,"")</f>
        <v>AICI201902-5-1-1</v>
      </c>
      <c r="B8" s="19" t="n">
        <f aca="false">IFERROR(__xludf.dummyfunction("""COMPUTED_VALUE"""),43741)</f>
        <v>43741</v>
      </c>
      <c r="C8" s="0" t="n">
        <f aca="false">IFERROR(__xludf.dummyfunction("""COMPUTED_VALUE"""),1)</f>
        <v>1</v>
      </c>
      <c r="D8" s="0" t="str">
        <f aca="false">IFERROR(__xludf.dummyfunction("""COMPUTED_VALUE"""),"AICI201902-5-1| Definir con Gobernanza - Línea IEC la información a publicar desde el Proceso de Gestión del Riesgo en Salud, articulando acciones con la Oficina de Comunicaciones para publicación en la página WEB institucional - 30/10/2019")</f>
        <v>AICI201902-5-1| Definir con Gobernanza - Línea IEC la información a publicar desde el Proceso de Gestión del Riesgo en Salud, articulando acciones con la Oficina de Comunicaciones para publicación en la página WEB institucional - 30/10/2019</v>
      </c>
      <c r="E8" s="0" t="str">
        <f aca="false">IFERROR(__xludf.dummyfunction("""COMPUTED_VALUE"""),"Se realizó reunión con el área de comunicaciones del PIC,para acordar la gestión  a realizar,pendiente acta de reunión la cual aportaran el día 4 de Octubre")</f>
        <v>Se realizó reunión con el área de comunicaciones del PIC,para acordar la gestión  a realizar,pendiente acta de reunión la cual aportaran el día 4 de Octubre</v>
      </c>
      <c r="F8" s="0" t="str">
        <f aca="false">IFERROR(__xludf.dummyfunction("""COMPUTED_VALUE"""),"En desarrollo")</f>
        <v>En desarrollo</v>
      </c>
    </row>
    <row r="9" customFormat="false" ht="14.25" hidden="false" customHeight="false" outlineLevel="0" collapsed="false">
      <c r="A9" s="18" t="str">
        <f aca="false">IFERROR(MID(D9,1,FIND("|",D9)-1)&amp;"-"&amp;C9,"")</f>
        <v>AICI201902-6-1-1</v>
      </c>
      <c r="B9" s="19" t="n">
        <f aca="false">IFERROR(__xludf.dummyfunction("""COMPUTED_VALUE"""),43741)</f>
        <v>43741</v>
      </c>
      <c r="C9" s="0" t="n">
        <f aca="false">IFERROR(__xludf.dummyfunction("""COMPUTED_VALUE"""),1)</f>
        <v>1</v>
      </c>
      <c r="D9" s="0" t="str">
        <f aca="false">IFERROR(__xludf.dummyfunction("""COMPUTED_VALUE"""),"AICI201902-6-1| Comunicar a la Oficina de Desarrollo Institucional la necesidad de incorporar riesgos asociados a posibles actos de corrupción, riesgos asociados a subfacturación, y riesgos asociados a la perdida de correspondencia, en el mapa de riesgos "&amp;"de la Direccion de Gestion del Riesgo en Salud - 30/09/2019")</f>
        <v>AICI201902-6-1| Comunicar a la Oficina de Desarrollo Institucional la necesidad de incorporar riesgos asociados a posibles actos de corrupción, riesgos asociados a subfacturación, y riesgos asociados a la perdida de correspondencia, en el mapa de riesgos de la Direccion de Gestion del Riesgo en Salud - 30/09/2019</v>
      </c>
      <c r="E9" s="0" t="str">
        <f aca="false">IFERROR(__xludf.dummyfunction("""COMPUTED_VALUE"""),"Se cambió la fecha a 30 de octubre,pendiente reunión con Desarrollo Institucional para revisión del mapa de riesgos")</f>
        <v>Se cambió la fecha a 30 de octubre,pendiente reunión con Desarrollo Institucional para revisión del mapa de riesgos</v>
      </c>
      <c r="F9" s="0" t="str">
        <f aca="false">IFERROR(__xludf.dummyfunction("""COMPUTED_VALUE"""),"En desarrollo")</f>
        <v>En desarrollo</v>
      </c>
    </row>
    <row r="10" customFormat="false" ht="14.25" hidden="false" customHeight="false" outlineLevel="0" collapsed="false">
      <c r="A10" s="18" t="str">
        <f aca="false">IFERROR(MID(D10,1,FIND("|",D10)-1)&amp;"-"&amp;C10,"")</f>
        <v>AICI201902-7-1-1</v>
      </c>
      <c r="B10" s="19" t="n">
        <f aca="false">IFERROR(__xludf.dummyfunction("""COMPUTED_VALUE"""),43741)</f>
        <v>43741</v>
      </c>
      <c r="C10" s="0" t="n">
        <f aca="false">IFERROR(__xludf.dummyfunction("""COMPUTED_VALUE"""),1)</f>
        <v>1</v>
      </c>
      <c r="D10" s="0" t="str">
        <f aca="false">IFERROR(__xludf.dummyfunction("""COMPUTED_VALUE"""),"AICI201902-7-1| Articular acciones con la Oficina de Talento humano / Seguridad y Salud en el Trabajo a fin de fortalecer los espacios de pausas activas dirigidas al talento humano de Vigilancia en Salud Publica - 30/11/2019")</f>
        <v>AICI201902-7-1| Articular acciones con la Oficina de Talento humano / Seguridad y Salud en el Trabajo a fin de fortalecer los espacios de pausas activas dirigidas al talento humano de Vigilancia en Salud Publica - 30/11/2019</v>
      </c>
      <c r="E10" s="0" t="str">
        <f aca="false">IFERROR(__xludf.dummyfunction("""COMPUTED_VALUE"""),"Se trabajo en el Copasst (Comite paritario de seguridad y salud en el trabajo) el día 10 de septiembre en la sección  varios,se trabajó con la ARL Sura para iniciar trabajo en la oficina de Rionegro y luego en toda la Subred,se anexa acta")</f>
        <v>Se trabajo en el Copasst (Comite paritario de seguridad y salud en el trabajo) el día 10 de septiembre en la sección  varios,se trabajó con la ARL Sura para iniciar trabajo en la oficina de Rionegro y luego en toda la Subred,se anexa acta</v>
      </c>
      <c r="F10" s="0" t="str">
        <f aca="false">IFERROR(__xludf.dummyfunction("""COMPUTED_VALUE"""),"En desarrollo")</f>
        <v>En desarrollo</v>
      </c>
      <c r="G10" s="20" t="str">
        <f aca="false">IFERROR(__xludf.dummyfunction("""COMPUTED_VALUE"""),"https://drive.google.com/open?id=1Tjkp_sAsUtC4MN_WBL-8EvE8jhVLuVvg")</f>
        <v>https://drive.google.com/open?id=1Tjkp_sAsUtC4MN_WBL-8EvE8jhVLuVvg</v>
      </c>
    </row>
    <row r="11" customFormat="false" ht="14.25" hidden="false" customHeight="false" outlineLevel="0" collapsed="false">
      <c r="A11" s="18" t="str">
        <f aca="false">IFERROR(MID(D11,1,FIND("|",D11)-1)&amp;"-"&amp;C11,"")</f>
        <v>AICI201902-8-1-1</v>
      </c>
      <c r="B11" s="19" t="n">
        <f aca="false">IFERROR(__xludf.dummyfunction("""COMPUTED_VALUE"""),43741)</f>
        <v>43741</v>
      </c>
      <c r="C11" s="0" t="n">
        <f aca="false">IFERROR(__xludf.dummyfunction("""COMPUTED_VALUE"""),1)</f>
        <v>1</v>
      </c>
      <c r="D11" s="0" t="str">
        <f aca="false">IFERROR(__xludf.dummyfunction("""COMPUTED_VALUE"""),"AICI201902-8-1| Articular acciones mediente reunion con gestion documental para induccion, reinduccion y despliegue de parametros contenidos en politica de cero papel, dirigido al equipo de Vigilancia en Salud Publica de la Direccion de Gestion del Riesgo"&amp;" en Salud - 30/09/2019")</f>
        <v>AICI201902-8-1| Articular acciones mediente reunion con gestion documental para induccion, reinduccion y despliegue de parametros contenidos en politica de cero papel, dirigido al equipo de Vigilancia en Salud Publica de la Direccion de Gestion del Riesgo en Salud - 30/09/2019</v>
      </c>
      <c r="E11" s="0" t="str">
        <f aca="false">IFERROR(__xludf.dummyfunction("""COMPUTED_VALUE"""),"Se modificó fecha para 30 de Octubre de 2019,se presentará el tema en la próxima reunión con Gestión Documental")</f>
        <v>Se modificó fecha para 30 de Octubre de 2019,se presentará el tema en la próxima reunión con Gestión Documental</v>
      </c>
      <c r="F11" s="0" t="str">
        <f aca="false">IFERROR(__xludf.dummyfunction("""COMPUTED_VALUE"""),"En desarrollo")</f>
        <v>En desarrollo</v>
      </c>
    </row>
    <row r="12" customFormat="false" ht="14.25" hidden="false" customHeight="false" outlineLevel="0" collapsed="false">
      <c r="A12" s="18" t="str">
        <f aca="false">IFERROR(MID(D12,1,FIND("|",D12)-1)&amp;"-"&amp;C12,"")</f>
        <v>AICI201902-1-1-2</v>
      </c>
      <c r="B12" s="19" t="n">
        <f aca="false">IFERROR(__xludf.dummyfunction("""COMPUTED_VALUE"""),43851)</f>
        <v>43851</v>
      </c>
      <c r="C12" s="0" t="n">
        <f aca="false">IFERROR(__xludf.dummyfunction("""COMPUTED_VALUE"""),2)</f>
        <v>2</v>
      </c>
      <c r="D12" s="0" t="str">
        <f aca="false">IFERROR(__xludf.dummyfunction("""COMPUTED_VALUE"""),"AICI201902-1-1| Articular mediante reunion con la Oficina de Sistema de Informacion TICS, las acciones para efectuar induccion, reinduccion y despliegue de parametros contenidos en ley 1712 de 2014, relacionado con inventario de activos de informacion, di"&amp;"rigido al equipo de Gestion del Riesgo en Salud - 30/10/2019")</f>
        <v>AICI201902-1-1| Articular mediante reunion con la Oficina de Sistema de Informacion TICS, las acciones para efectuar induccion, reinduccion y despliegue de parametros contenidos en ley 1712 de 2014, relacionado con inventario de activos de informacion, dirigido al equipo de Gestion del Riesgo en Salud - 30/10/2019</v>
      </c>
      <c r="E12" s="0" t="str">
        <f aca="false">IFERROR(__xludf.dummyfunction("""COMPUTED_VALUE"""),"Se observan actas de capacitación de todo el equipo, en total 7")</f>
        <v>Se observan actas de capacitación de todo el equipo, en total 7</v>
      </c>
      <c r="F12" s="0" t="str">
        <f aca="false">IFERROR(__xludf.dummyfunction("""COMPUTED_VALUE"""),"Completo")</f>
        <v>Completo</v>
      </c>
    </row>
    <row r="13" customFormat="false" ht="14.25" hidden="false" customHeight="false" outlineLevel="0" collapsed="false">
      <c r="A13" s="18" t="str">
        <f aca="false">IFERROR(MID(D13,1,FIND("|",D13)-1)&amp;"-"&amp;C13,"")</f>
        <v>AICI201902-2-1-2</v>
      </c>
      <c r="B13" s="19" t="n">
        <f aca="false">IFERROR(__xludf.dummyfunction("""COMPUTED_VALUE"""),43851)</f>
        <v>43851</v>
      </c>
      <c r="C13" s="0" t="n">
        <f aca="false">IFERROR(__xludf.dummyfunction("""COMPUTED_VALUE"""),2)</f>
        <v>2</v>
      </c>
      <c r="D13" s="0" t="str">
        <f aca="false">IFERROR(__xludf.dummyfunction("""COMPUTED_VALUE"""),"AICI201902-2-1| Articular mediante reunion con la Oficina de Sistema de Informacion TICS, las acciones para efectuar induccion, reinduccion y despliegue de políticas, procedimientos, instructivos y demás herramientas metodológicas generados por la oficina"&amp;" de TIC’s en cuanto a procesamiento, custodia y tratamiento de datos, dirigido al equipo de Gestion del Riesgo en Salud - 30/10/2019")</f>
        <v>AICI201902-2-1| Articular mediante reunion con la Oficina de Sistema de Informacion TICS, las acciones para efectuar induccion, reinduccion y despliegue de políticas, procedimientos, instructivos y demás herramientas metodológicas generados por la oficina de TIC’s en cuanto a procesamiento, custodia y tratamiento de datos, dirigido al equipo de Gestion del Riesgo en Salud - 30/10/2019</v>
      </c>
      <c r="E13" s="0" t="str">
        <f aca="false">IFERROR(__xludf.dummyfunction("""COMPUTED_VALUE"""),"Se observan actas de capacitación de todo el equipo, en total 7")</f>
        <v>Se observan actas de capacitación de todo el equipo, en total 7</v>
      </c>
      <c r="F13" s="0" t="str">
        <f aca="false">IFERROR(__xludf.dummyfunction("""COMPUTED_VALUE"""),"Completo")</f>
        <v>Completo</v>
      </c>
    </row>
    <row r="14" customFormat="false" ht="14.25" hidden="false" customHeight="false" outlineLevel="0" collapsed="false">
      <c r="A14" s="18" t="str">
        <f aca="false">IFERROR(MID(D14,1,FIND("|",D14)-1)&amp;"-"&amp;C14,"")</f>
        <v>AICI201902-3-1-2</v>
      </c>
      <c r="B14" s="19" t="n">
        <f aca="false">IFERROR(__xludf.dummyfunction("""COMPUTED_VALUE"""),43851)</f>
        <v>43851</v>
      </c>
      <c r="C14" s="0" t="n">
        <f aca="false">IFERROR(__xludf.dummyfunction("""COMPUTED_VALUE"""),2)</f>
        <v>2</v>
      </c>
      <c r="D14" s="0" t="str">
        <f aca="false">IFERROR(__xludf.dummyfunction("""COMPUTED_VALUE"""),"AICI201902-3-1| Articular mediante reunion con la Oficina de Sistema de Informacion TICS las acciones para efectuar induccion, reinduccion y despliegue de política y protocolos en la toma de copias de seguridad, a fin de prevenir riesgo en pérdida y deter"&amp;"ioro de información, dirigido al equipo de Gestion del Riesgo en Salud - 30/10/2019")</f>
        <v>AICI201902-3-1| Articular mediante reunion con la Oficina de Sistema de Informacion TICS las acciones para efectuar induccion, reinduccion y despliegue de política y protocolos en la toma de copias de seguridad, a fin de prevenir riesgo en pérdida y deterioro de información, dirigido al equipo de Gestion del Riesgo en Salud - 30/10/2019</v>
      </c>
      <c r="E14" s="0" t="str">
        <f aca="false">IFERROR(__xludf.dummyfunction("""COMPUTED_VALUE"""),"Se observan actas de capacitación de todo el equipo, en total 7")</f>
        <v>Se observan actas de capacitación de todo el equipo, en total 7</v>
      </c>
      <c r="F14" s="0" t="str">
        <f aca="false">IFERROR(__xludf.dummyfunction("""COMPUTED_VALUE"""),"Completo")</f>
        <v>Completo</v>
      </c>
    </row>
    <row r="15" customFormat="false" ht="14.25" hidden="false" customHeight="false" outlineLevel="0" collapsed="false">
      <c r="A15" s="18" t="str">
        <f aca="false">IFERROR(MID(D15,1,FIND("|",D15)-1)&amp;"-"&amp;C15,"")</f>
        <v>AICI201902-4-1-2</v>
      </c>
      <c r="B15" s="19" t="n">
        <f aca="false">IFERROR(__xludf.dummyfunction("""COMPUTED_VALUE"""),43851)</f>
        <v>43851</v>
      </c>
      <c r="C15" s="0" t="n">
        <f aca="false">IFERROR(__xludf.dummyfunction("""COMPUTED_VALUE"""),2)</f>
        <v>2</v>
      </c>
      <c r="D15" s="0" t="str">
        <f aca="false">IFERROR(__xludf.dummyfunction("""COMPUTED_VALUE"""),"AICI201902-4-1| Revisar el procedimiento para cargar al SDQS todos los requerimientos, solicitudes, peticiones, quejas o reclamos y socializar al equipo de la Direccion de Gestion del riesgo en Salud - 31/12/2019")</f>
        <v>AICI201902-4-1| Revisar el procedimiento para cargar al SDQS todos los requerimientos, solicitudes, peticiones, quejas o reclamos y socializar al equipo de la Direccion de Gestion del riesgo en Salud - 31/12/2019</v>
      </c>
      <c r="E15" s="0" t="str">
        <f aca="false">IFERROR(__xludf.dummyfunction("""COMPUTED_VALUE"""),"Se evidencia acta de 8 de octubre d 2019 en dónde se compromete un desarrollo de interfaz para noviembre de 2019.   Con la actualización de la nueva plataforma Orfeo, se está implementando el procedimiento para la unificación.  A la fecha de este seguimie"&amp;"nto se utilizan las dos plataformas sin unificar.")</f>
        <v>Se evidencia acta de 8 de octubre d 2019 en dónde se compromete un desarrollo de interfaz para noviembre de 2019.   Con la actualización de la nueva plataforma Orfeo, se está implementando el procedimiento para la unificación.  A la fecha de este seguimiento se utilizan las dos plataformas sin unificar.</v>
      </c>
      <c r="F15" s="0" t="str">
        <f aca="false">IFERROR(__xludf.dummyfunction("""COMPUTED_VALUE"""),"Atrasado")</f>
        <v>Atrasado</v>
      </c>
    </row>
    <row r="16" customFormat="false" ht="14.25" hidden="false" customHeight="false" outlineLevel="0" collapsed="false">
      <c r="A16" s="18" t="str">
        <f aca="false">IFERROR(MID(D16,1,FIND("|",D16)-1)&amp;"-"&amp;C16,"")</f>
        <v>AICI201902-6-1-2</v>
      </c>
      <c r="B16" s="19" t="n">
        <f aca="false">IFERROR(__xludf.dummyfunction("""COMPUTED_VALUE"""),43851)</f>
        <v>43851</v>
      </c>
      <c r="C16" s="0" t="n">
        <f aca="false">IFERROR(__xludf.dummyfunction("""COMPUTED_VALUE"""),2)</f>
        <v>2</v>
      </c>
      <c r="D16" s="0" t="str">
        <f aca="false">IFERROR(__xludf.dummyfunction("""COMPUTED_VALUE"""),"AICI201902-6-1| Comunicar a la Oficina de Desarrollo Institucional la necesidad de incorporar riesgos asociados a posibles actos de corrupción, riesgos asociados a subfacturación, y riesgos asociados a la perdida de correspondencia, en el mapa de riesgos "&amp;"de la Direccion de Gestion del Riesgo en Salud - 30/09/2019")</f>
        <v>AICI201902-6-1| Comunicar a la Oficina de Desarrollo Institucional la necesidad de incorporar riesgos asociados a posibles actos de corrupción, riesgos asociados a subfacturación, y riesgos asociados a la perdida de correspondencia, en el mapa de riesgos de la Direccion de Gestion del Riesgo en Salud - 30/09/2019</v>
      </c>
      <c r="E16" s="0" t="str">
        <f aca="false">IFERROR(__xludf.dummyfunction("""COMPUTED_VALUE"""),"Se evidencia la comunicación a la oficina de desarrollo institucional sobre la incorporación de los riesgos.  Se recomienda incorporar estos riesgos para la vigencia 2020.")</f>
        <v>Se evidencia la comunicación a la oficina de desarrollo institucional sobre la incorporación de los riesgos.  Se recomienda incorporar estos riesgos para la vigencia 2020.</v>
      </c>
      <c r="F16" s="0" t="str">
        <f aca="false">IFERROR(__xludf.dummyfunction("""COMPUTED_VALUE"""),"En desarrollo")</f>
        <v>En desarrollo</v>
      </c>
    </row>
    <row r="17" customFormat="false" ht="14.25" hidden="false" customHeight="false" outlineLevel="0" collapsed="false">
      <c r="A17" s="18" t="str">
        <f aca="false">IFERROR(MID(D17,1,FIND("|",D17)-1)&amp;"-"&amp;C17,"")</f>
        <v>AICI201902-5-1-2</v>
      </c>
      <c r="B17" s="19" t="n">
        <f aca="false">IFERROR(__xludf.dummyfunction("""COMPUTED_VALUE"""),43851)</f>
        <v>43851</v>
      </c>
      <c r="C17" s="0" t="n">
        <f aca="false">IFERROR(__xludf.dummyfunction("""COMPUTED_VALUE"""),2)</f>
        <v>2</v>
      </c>
      <c r="D17" s="0" t="str">
        <f aca="false">IFERROR(__xludf.dummyfunction("""COMPUTED_VALUE"""),"AICI201902-5-1| Definir con Gobernanza - Línea IEC la información a publicar desde el Proceso de Gestión del Riesgo en Salud, articulando acciones con la Oficina de Comunicaciones para publicación en la página WEB institucional - 30/10/2019")</f>
        <v>AICI201902-5-1| Definir con Gobernanza - Línea IEC la información a publicar desde el Proceso de Gestión del Riesgo en Salud, articulando acciones con la Oficina de Comunicaciones para publicación en la página WEB institucional - 30/10/2019</v>
      </c>
      <c r="E17" s="0" t="str">
        <f aca="false">IFERROR(__xludf.dummyfunction("""COMPUTED_VALUE"""),"Se evidencia reuniones con oficina de comunicaciones de la subred sobre las temáticas 
de publicación relacionada con PIC en los diferentes canales de comunicación.  En la página  web se tiene publicada información de boletines de prensa, vigilancia salud"&amp;" pública y análisis de las situaciones de salud pública.  Se recomienda la publicación de informes de PIC en el enlace destinado.")</f>
        <v>Se evidencia reuniones con oficina de comunicaciones de la subred sobre las temáticas 
de publicación relacionada con PIC en los diferentes canales de comunicación.  En la página  web se tiene publicada información de boletines de prensa, vigilancia salud pública y análisis de las situaciones de salud pública.  Se recomienda la publicación de informes de PIC en el enlace destinado.</v>
      </c>
      <c r="F17" s="0" t="str">
        <f aca="false">IFERROR(__xludf.dummyfunction("""COMPUTED_VALUE"""),"En desarrollo")</f>
        <v>En desarrollo</v>
      </c>
    </row>
    <row r="18" customFormat="false" ht="14.25" hidden="false" customHeight="false" outlineLevel="0" collapsed="false">
      <c r="A18" s="18" t="str">
        <f aca="false">IFERROR(MID(D18,1,FIND("|",D18)-1)&amp;"-"&amp;C18,"")</f>
        <v>AICI201902-7-1-2</v>
      </c>
      <c r="B18" s="19" t="n">
        <f aca="false">IFERROR(__xludf.dummyfunction("""COMPUTED_VALUE"""),43851)</f>
        <v>43851</v>
      </c>
      <c r="C18" s="0" t="n">
        <f aca="false">IFERROR(__xludf.dummyfunction("""COMPUTED_VALUE"""),2)</f>
        <v>2</v>
      </c>
      <c r="D18" s="0" t="str">
        <f aca="false">IFERROR(__xludf.dummyfunction("""COMPUTED_VALUE"""),"AICI201902-7-1| Articular acciones con la Oficina de Talento humano / Seguridad y Salud en el Trabajo a fin de fortalecer los espacios de pausas activas dirigidas al talento humano de Vigilancia en Salud Publica - 30/11/2019")</f>
        <v>AICI201902-7-1| Articular acciones con la Oficina de Talento humano / Seguridad y Salud en el Trabajo a fin de fortalecer los espacios de pausas activas dirigidas al talento humano de Vigilancia en Salud Publica - 30/11/2019</v>
      </c>
      <c r="E18" s="0" t="str">
        <f aca="false">IFERROR(__xludf.dummyfunction("""COMPUTED_VALUE"""),"En actas de copasst de agosto y septiembre de 2019 se evidencia solicitud de apoyo a la Arl para la ejecución de pausas activas para todas las sedes de salud pública.  En copasst de octubre se evidencia la ejecución de acciones de pausas activas en sedes "&amp;"de ferias, suba, lorencita y Rionegro.")</f>
        <v>En actas de copasst de agosto y septiembre de 2019 se evidencia solicitud de apoyo a la Arl para la ejecución de pausas activas para todas las sedes de salud pública.  En copasst de octubre se evidencia la ejecución de acciones de pausas activas en sedes de ferias, suba, lorencita y Rionegro.</v>
      </c>
      <c r="F18" s="0" t="str">
        <f aca="false">IFERROR(__xludf.dummyfunction("""COMPUTED_VALUE"""),"Completo")</f>
        <v>Completo</v>
      </c>
    </row>
    <row r="19" customFormat="false" ht="14.25" hidden="false" customHeight="false" outlineLevel="0" collapsed="false">
      <c r="A19" s="18" t="str">
        <f aca="false">IFERROR(MID(D19,1,FIND("|",D19)-1)&amp;"-"&amp;C19,"")</f>
        <v>AICI201902-8-1-2</v>
      </c>
      <c r="B19" s="19" t="n">
        <f aca="false">IFERROR(__xludf.dummyfunction("""COMPUTED_VALUE"""),43851)</f>
        <v>43851</v>
      </c>
      <c r="C19" s="0" t="n">
        <f aca="false">IFERROR(__xludf.dummyfunction("""COMPUTED_VALUE"""),2)</f>
        <v>2</v>
      </c>
      <c r="D19" s="0" t="str">
        <f aca="false">IFERROR(__xludf.dummyfunction("""COMPUTED_VALUE"""),"AICI201902-8-1| Articular acciones mediente reunion con gestion documental para induccion, reinduccion y despliegue de parametros contenidos en politica de cero papel, dirigido al equipo de Vigilancia en Salud Publica de la Direccion de Gestion del Riesgo"&amp;" en Salud - 30/09/2019")</f>
        <v>AICI201902-8-1| Articular acciones mediente reunion con gestion documental para induccion, reinduccion y despliegue de parametros contenidos en politica de cero papel, dirigido al equipo de Vigilancia en Salud Publica de la Direccion de Gestion del Riesgo en Salud - 30/09/2019</v>
      </c>
      <c r="E19" s="0" t="str">
        <f aca="false">IFERROR(__xludf.dummyfunction("""COMPUTED_VALUE"""),"En actas de octubre, noviembre y diciembre se evidencia la socialización de la política de cero papel.")</f>
        <v>En actas de octubre, noviembre y diciembre se evidencia la socialización de la política de cero papel.</v>
      </c>
      <c r="F19" s="0" t="str">
        <f aca="false">IFERROR(__xludf.dummyfunction("""COMPUTED_VALUE"""),"Completo")</f>
        <v>Completo</v>
      </c>
    </row>
    <row r="20" customFormat="false" ht="14.25" hidden="false" customHeight="false" outlineLevel="0" collapsed="false">
      <c r="A20" s="18" t="str">
        <f aca="false">IFERROR(MID(D20,1,FIND("|",D20)-1)&amp;"-"&amp;C20,"")</f>
        <v>AICI201902-4-1-3</v>
      </c>
      <c r="B20" s="19" t="n">
        <f aca="false">IFERROR(__xludf.dummyfunction("""COMPUTED_VALUE"""),43915)</f>
        <v>43915</v>
      </c>
      <c r="C20" s="0" t="n">
        <f aca="false">IFERROR(__xludf.dummyfunction("""COMPUTED_VALUE"""),3)</f>
        <v>3</v>
      </c>
      <c r="D20" s="0" t="str">
        <f aca="false">IFERROR(__xludf.dummyfunction("""COMPUTED_VALUE"""),"AICI201902-4-1| Revisar el procedimiento para cargar al SDQS todos los requerimientos, solicitudes, peticiones, quejas o reclamos y socializar al equipo de la Direccion de Gestion del riesgo en Salud - 31/12/2019")</f>
        <v>AICI201902-4-1| Revisar el procedimiento para cargar al SDQS todos los requerimientos, solicitudes, peticiones, quejas o reclamos y socializar al equipo de la Direccion de Gestion del riesgo en Salud - 31/12/2019</v>
      </c>
      <c r="E20" s="0" t="str">
        <f aca="false">IFERROR(__xludf.dummyfunction("""COMPUTED_VALUE"""),"No enviaron evidencia de la unificación de las 2 plataformas para dar respuestas a todas las PQRS")</f>
        <v>No enviaron evidencia de la unificación de las 2 plataformas para dar respuestas a todas las PQRS</v>
      </c>
      <c r="F20" s="0" t="str">
        <f aca="false">IFERROR(__xludf.dummyfunction("""COMPUTED_VALUE"""),"Atrasado")</f>
        <v>Atrasado</v>
      </c>
    </row>
    <row r="21" customFormat="false" ht="14.25" hidden="false" customHeight="false" outlineLevel="0" collapsed="false">
      <c r="A21" s="18" t="str">
        <f aca="false">IFERROR(MID(D21,1,FIND("|",D21)-1)&amp;"-"&amp;C21,"")</f>
        <v>AICI201902-5-1-3</v>
      </c>
      <c r="B21" s="19" t="n">
        <f aca="false">IFERROR(__xludf.dummyfunction("""COMPUTED_VALUE"""),43915)</f>
        <v>43915</v>
      </c>
      <c r="C21" s="0" t="n">
        <f aca="false">IFERROR(__xludf.dummyfunction("""COMPUTED_VALUE"""),3)</f>
        <v>3</v>
      </c>
      <c r="D21" s="0" t="str">
        <f aca="false">IFERROR(__xludf.dummyfunction("""COMPUTED_VALUE"""),"AICI201902-5-1| Definir con Gobernanza - Línea IEC la información a publicar desde el Proceso de Gestión del Riesgo en Salud, articulando acciones con la Oficina de Comunicaciones para publicación en la página WEB institucional - 30/10/2019")</f>
        <v>AICI201902-5-1| Definir con Gobernanza - Línea IEC la información a publicar desde el Proceso de Gestión del Riesgo en Salud, articulando acciones con la Oficina de Comunicaciones para publicación en la página WEB institucional - 30/10/2019</v>
      </c>
      <c r="E21" s="0" t="str">
        <f aca="false">IFERROR(__xludf.dummyfunction("""COMPUTED_VALUE"""),"No se encuentra evidencia de publicación del PIC,en la pagina web")</f>
        <v>No se encuentra evidencia de publicación del PIC,en la pagina web</v>
      </c>
      <c r="F21" s="0" t="str">
        <f aca="false">IFERROR(__xludf.dummyfunction("""COMPUTED_VALUE"""),"Atrasado")</f>
        <v>Atrasado</v>
      </c>
    </row>
    <row r="22" customFormat="false" ht="14.25" hidden="false" customHeight="false" outlineLevel="0" collapsed="false">
      <c r="A22" s="18" t="str">
        <f aca="false">IFERROR(MID(D22,1,FIND("|",D22)-1)&amp;"-"&amp;C22,"")</f>
        <v>AICI201902-6-1-3</v>
      </c>
      <c r="B22" s="19" t="n">
        <f aca="false">IFERROR(__xludf.dummyfunction("""COMPUTED_VALUE"""),43915)</f>
        <v>43915</v>
      </c>
      <c r="C22" s="0" t="n">
        <f aca="false">IFERROR(__xludf.dummyfunction("""COMPUTED_VALUE"""),3)</f>
        <v>3</v>
      </c>
      <c r="D22" s="0" t="str">
        <f aca="false">IFERROR(__xludf.dummyfunction("""COMPUTED_VALUE"""),"AICI201902-6-1| Comunicar a la Oficina de Desarrollo Institucional la necesidad de incorporar riesgos asociados a posibles actos de corrupción, riesgos asociados a subfacturación, y riesgos asociados a la perdida de correspondencia, en el mapa de riesgos "&amp;"de la Direccion de Gestion del Riesgo en Salud - 30/09/2019")</f>
        <v>AICI201902-6-1| Comunicar a la Oficina de Desarrollo Institucional la necesidad de incorporar riesgos asociados a posibles actos de corrupción, riesgos asociados a subfacturación, y riesgos asociados a la perdida de correspondencia, en el mapa de riesgos de la Direccion de Gestion del Riesgo en Salud - 30/09/2019</v>
      </c>
      <c r="E22" s="0" t="str">
        <f aca="false">IFERROR(__xludf.dummyfunction("""COMPUTED_VALUE"""),"se anexa propuesta del mapa de riesgos donde incluyen los posibles riesgos de corrupción,subfacturación y perdida de correspondencia")</f>
        <v>se anexa propuesta del mapa de riesgos donde incluyen los posibles riesgos de corrupción,subfacturación y perdida de correspondencia</v>
      </c>
      <c r="F22" s="0" t="str">
        <f aca="false">IFERROR(__xludf.dummyfunction("""COMPUTED_VALUE"""),"Completo")</f>
        <v>Completo</v>
      </c>
      <c r="G22" s="0" t="str">
        <f aca="false">IFERROR(__xludf.dummyfunction("""COMPUTED_VALUE"""),"https://drive.google.com/open?id=1nz9OqxeZzUEEY5D1PJ2iIwmEYT-tDBEE, https://drive.google.com/open?id=1saZ3WA0Ppgt85HLLrpjKBk2xcIDl_Ph8")</f>
        <v>https://drive.google.com/open?id=1nz9OqxeZzUEEY5D1PJ2iIwmEYT-tDBEE, https://drive.google.com/open?id=1saZ3WA0Ppgt85HLLrpjKBk2xcIDl_Ph8</v>
      </c>
    </row>
    <row r="23" customFormat="false" ht="14.25" hidden="false" customHeight="false" outlineLevel="0" collapsed="false">
      <c r="A23" s="18" t="str">
        <f aca="false">IFERROR(MID(D23,1,FIND("|",D23)-1)&amp;"-"&amp;C23,"")</f>
        <v>AICI201902-4-1-3</v>
      </c>
      <c r="B23" s="19" t="n">
        <f aca="false">IFERROR(__xludf.dummyfunction("""COMPUTED_VALUE"""),44057)</f>
        <v>44057</v>
      </c>
      <c r="C23" s="0" t="n">
        <f aca="false">IFERROR(__xludf.dummyfunction("""COMPUTED_VALUE"""),3)</f>
        <v>3</v>
      </c>
      <c r="D23" s="0" t="str">
        <f aca="false">IFERROR(__xludf.dummyfunction("""COMPUTED_VALUE"""),"AICI201902-4-1| Revisar el procedimiento para cargar al SDQS todos los requerimientos, solicitudes, peticiones, quejas o reclamos y socializar al equipo de la Direccion de Gestion del riesgo en Salud - 31/12/2019")</f>
        <v>AICI201902-4-1| Revisar el procedimiento para cargar al SDQS todos los requerimientos, solicitudes, peticiones, quejas o reclamos y socializar al equipo de la Direccion de Gestion del riesgo en Salud - 31/12/2019</v>
      </c>
      <c r="E23" s="0" t="str">
        <f aca="false">IFERROR(__xludf.dummyfunction("""COMPUTED_VALUE"""),"No respondieron correo del tercer ni cuarto seguimiento,no hay evidencias")</f>
        <v>No respondieron correo del tercer ni cuarto seguimiento,no hay evidencias</v>
      </c>
      <c r="F23" s="0" t="str">
        <f aca="false">IFERROR(__xludf.dummyfunction("""COMPUTED_VALUE"""),"Atrasado")</f>
        <v>Atrasado</v>
      </c>
    </row>
    <row r="24" customFormat="false" ht="14.25" hidden="false" customHeight="false" outlineLevel="0" collapsed="false">
      <c r="A24" s="18" t="str">
        <f aca="false">IFERROR(MID(D24,1,FIND("|",D24)-1)&amp;"-"&amp;C24,"")</f>
        <v>AICI201902-5-1-3</v>
      </c>
      <c r="B24" s="19" t="n">
        <f aca="false">IFERROR(__xludf.dummyfunction("""COMPUTED_VALUE"""),44057)</f>
        <v>44057</v>
      </c>
      <c r="C24" s="0" t="n">
        <f aca="false">IFERROR(__xludf.dummyfunction("""COMPUTED_VALUE"""),3)</f>
        <v>3</v>
      </c>
      <c r="D24" s="0" t="str">
        <f aca="false">IFERROR(__xludf.dummyfunction("""COMPUTED_VALUE"""),"AICI201902-5-1| Definir con Gobernanza - Línea IEC la información a publicar desde el Proceso de Gestión del Riesgo en Salud, articulando acciones con la Oficina de Comunicaciones para publicación en la página WEB institucional - 30/10/2019")</f>
        <v>AICI201902-5-1| Definir con Gobernanza - Línea IEC la información a publicar desde el Proceso de Gestión del Riesgo en Salud, articulando acciones con la Oficina de Comunicaciones para publicación en la página WEB institucional - 30/10/2019</v>
      </c>
      <c r="E24" s="0" t="str">
        <f aca="false">IFERROR(__xludf.dummyfunction("""COMPUTED_VALUE"""),"No enviaron evidencias para el tercer y cuarto seguimiento")</f>
        <v>No enviaron evidencias para el tercer y cuarto seguimiento</v>
      </c>
      <c r="F24" s="0" t="str">
        <f aca="false">IFERROR(__xludf.dummyfunction("""COMPUTED_VALUE"""),"Atrasado")</f>
        <v>Atrasado</v>
      </c>
    </row>
    <row r="25" customFormat="false" ht="14.25" hidden="false" customHeight="false" outlineLevel="0" collapsed="false">
      <c r="A25" s="18" t="str">
        <f aca="false">IFERROR(MID(D25,1,FIND("|",D25)-1)&amp;"-"&amp;C25,"")</f>
        <v>AICI201902-5-1-4</v>
      </c>
      <c r="B25" s="19" t="n">
        <f aca="false">IFERROR(__xludf.dummyfunction("""COMPUTED_VALUE"""),44229)</f>
        <v>44229</v>
      </c>
      <c r="C25" s="0" t="n">
        <f aca="false">IFERROR(__xludf.dummyfunction("""COMPUTED_VALUE"""),4)</f>
        <v>4</v>
      </c>
      <c r="D25" s="0" t="str">
        <f aca="false">IFERROR(__xludf.dummyfunction("""COMPUTED_VALUE"""),"AICI201902-5-1| Definir con Gobernanza - Línea IEC la información a publicar desde el Proceso de Gestión del Riesgo en Salud, articulando acciones con la Oficina de Comunicaciones para publicación en la página WEB institucional - 30/10/2019")</f>
        <v>AICI201902-5-1| Definir con Gobernanza - Línea IEC la información a publicar desde el Proceso de Gestión del Riesgo en Salud, articulando acciones con la Oficina de Comunicaciones para publicación en la página WEB institucional - 30/10/2019</v>
      </c>
      <c r="E25" s="0" t="str">
        <f aca="false">IFERROR(__xludf.dummyfunction("""COMPUTED_VALUE"""),"Se anexan actas de reunión con el equipo de comunicaciones para la organización de la pagina web, no obstante en el link de PIC, la información es del 2016")</f>
        <v>Se anexan actas de reunión con el equipo de comunicaciones para la organización de la pagina web, no obstante en el link de PIC, la información es del 2016</v>
      </c>
      <c r="F25" s="0" t="str">
        <f aca="false">IFERROR(__xludf.dummyfunction("""COMPUTED_VALUE"""),"En desarrollo")</f>
        <v>En desarrollo</v>
      </c>
      <c r="G25" s="0" t="str">
        <f aca="false">IFERROR(__xludf.dummyfunction("""COMPUTED_VALUE"""),"https://drive.google.com/open?id=1I9Xdhf6jNNR_BLiyN8imWoFTJ8iXCkJL, https://drive.google.com/open?id=1csxHJlj6Q4GrplkGJBabPNOpCepqOlj_, https://drive.google.com/open?id=19_RHy37UBFae5n9laisGOsUqHUP5GUDe")</f>
        <v>https://drive.google.com/open?id=1I9Xdhf6jNNR_BLiyN8imWoFTJ8iXCkJL, https://drive.google.com/open?id=1csxHJlj6Q4GrplkGJBabPNOpCepqOlj_, https://drive.google.com/open?id=19_RHy37UBFae5n9laisGOsUqHUP5GUDe</v>
      </c>
    </row>
    <row r="26" customFormat="false" ht="14.25" hidden="false" customHeight="false" outlineLevel="0" collapsed="false">
      <c r="A26" s="18" t="str">
        <f aca="false">IFERROR(MID(D26,1,FIND("|",D26)-1)&amp;"-"&amp;C26,"")</f>
        <v>AICI201902-4-1-5</v>
      </c>
      <c r="B26" s="19" t="n">
        <f aca="false">IFERROR(__xludf.dummyfunction("""COMPUTED_VALUE"""),44551)</f>
        <v>44551</v>
      </c>
      <c r="C26" s="0" t="n">
        <f aca="false">IFERROR(__xludf.dummyfunction("""COMPUTED_VALUE"""),5)</f>
        <v>5</v>
      </c>
      <c r="D26" s="0" t="str">
        <f aca="false">IFERROR(__xludf.dummyfunction("""COMPUTED_VALUE"""),"AICI201902-4-1| Revisar el procedimiento para cargar al SDQS todos los requerimientos, solicitudes, peticiones, quejas o reclamos y socializar al equipo de la Direccion de Gestion del riesgo en Salud - 31/12/2019")</f>
        <v>AICI201902-4-1| Revisar el procedimiento para cargar al SDQS todos los requerimientos, solicitudes, peticiones, quejas o reclamos y socializar al equipo de la Direccion de Gestion del riesgo en Salud - 31/12/2019</v>
      </c>
      <c r="E26" s="0" t="str">
        <f aca="false">IFERROR(__xludf.dummyfunction("""COMPUTED_VALUE"""),"En visita realizada a la sede de Ferias, el día 17 de Diciembre, se comprobó que el total de peticiones que llegan se responden por la Plataforma Bogotá te escucha o por Orfeo")</f>
        <v>En visita realizada a la sede de Ferias, el día 17 de Diciembre, se comprobó que el total de peticiones que llegan se responden por la Plataforma Bogotá te escucha o por Orfeo</v>
      </c>
      <c r="F26" s="0" t="str">
        <f aca="false">IFERROR(__xludf.dummyfunction("""COMPUTED_VALUE"""),"Completo")</f>
        <v>Completo</v>
      </c>
    </row>
    <row r="27" customFormat="false" ht="14.25" hidden="false" customHeight="false" outlineLevel="0" collapsed="false">
      <c r="A27" s="18" t="str">
        <f aca="false">IFERROR(MID(D27,1,FIND("|",D27)-1)&amp;"-"&amp;C27,"")</f>
        <v>AICI201902-5-1-5</v>
      </c>
      <c r="B27" s="19" t="n">
        <f aca="false">IFERROR(__xludf.dummyfunction("""COMPUTED_VALUE"""),44609)</f>
        <v>44609</v>
      </c>
      <c r="C27" s="0" t="n">
        <f aca="false">IFERROR(__xludf.dummyfunction("""COMPUTED_VALUE"""),5)</f>
        <v>5</v>
      </c>
      <c r="D27" s="0" t="str">
        <f aca="false">IFERROR(__xludf.dummyfunction("""COMPUTED_VALUE"""),"AICI201902-5-1| Definir con Gobernanza - Línea IEC la información a publicar desde el Proceso de Gestión del Riesgo en Salud, articulando acciones con la Oficina de Comunicaciones para publicación en la página WEB institucional - 30/10/2019")</f>
        <v>AICI201902-5-1| Definir con Gobernanza - Línea IEC la información a publicar desde el Proceso de Gestión del Riesgo en Salud, articulando acciones con la Oficina de Comunicaciones para publicación en la página WEB institucional - 30/10/2019</v>
      </c>
      <c r="E27" s="0" t="str">
        <f aca="false">IFERROR(__xludf.dummyfunction("""COMPUTED_VALUE"""),"Se evidencia en la pagina web, actualización del menú de salud pública al 2022,en lo relacionado con vigilancia epidemiológica")</f>
        <v>Se evidencia en la pagina web, actualización del menú de salud pública al 2022,en lo relacionado con vigilancia epidemiológica</v>
      </c>
      <c r="F27" s="0" t="str">
        <f aca="false">IFERROR(__xludf.dummyfunction("""COMPUTED_VALUE"""),"Completo")</f>
        <v>Completo</v>
      </c>
      <c r="G27" s="20" t="str">
        <f aca="false">IFERROR(__xludf.dummyfunction("""COMPUTED_VALUE"""),"https://drive.google.com/open?id=1gxEGqg7YeHDSD1Ccxx4qmEiWB2O4K6mW")</f>
        <v>https://drive.google.com/open?id=1gxEGqg7YeHDSD1Ccxx4qmEiWB2O4K6mW</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row r="1000" customFormat="false" ht="14.25" hidden="false" customHeight="false" outlineLevel="0" collapsed="false">
      <c r="A1000" s="18" t="str">
        <f aca="false">IFERROR(MID(D1000,1,FIND("|",D1000)-1)&amp;"-"&amp;C1000,"")</f>
        <v/>
      </c>
    </row>
  </sheetData>
  <hyperlinks>
    <hyperlink ref="G10" r:id="rId1" display="https://drive.google.com/open?id=1Tjkp_sAsUtC4MN_WBL-8EvE8jhVLuVvg"/>
    <hyperlink ref="G27" r:id="rId2" display="https://drive.google.com/open?id=1gxEGqg7YeHDSD1Ccxx4qmEiWB2O4K6mW"/>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8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43.42"/>
  </cols>
  <sheetData>
    <row r="1" customFormat="false" ht="12.75" hidden="false" customHeight="false" outlineLevel="0" collapsed="false">
      <c r="A1" s="13" t="s">
        <v>1844</v>
      </c>
      <c r="B1" s="13" t="s">
        <v>1838</v>
      </c>
      <c r="C1" s="13" t="s">
        <v>1839</v>
      </c>
      <c r="D1" s="13" t="s">
        <v>1840</v>
      </c>
      <c r="E1" s="13" t="s">
        <v>1841</v>
      </c>
      <c r="F1" s="13" t="s">
        <v>1842</v>
      </c>
      <c r="G1" s="13" t="s">
        <v>1843</v>
      </c>
    </row>
    <row r="2" customFormat="false" ht="6.75" hidden="false" customHeight="true" outlineLevel="0" collapsed="false">
      <c r="A2" s="17"/>
      <c r="B2" s="17"/>
      <c r="C2" s="17"/>
      <c r="D2" s="17"/>
      <c r="E2" s="17"/>
      <c r="F2" s="17"/>
      <c r="G2" s="17"/>
    </row>
    <row r="3" customFormat="false" ht="12.75" hidden="false" customHeight="false" outlineLevel="0" collapsed="false">
      <c r="A3" s="13" t="s">
        <v>1836</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AICI201903-1-1-1</v>
      </c>
      <c r="B4" s="19" t="n">
        <f aca="false">IFERROR(__xludf.dummyfunction("""COMPUTED_VALUE"""),43853)</f>
        <v>43853</v>
      </c>
      <c r="C4" s="0" t="n">
        <f aca="false">IFERROR(__xludf.dummyfunction("""COMPUTED_VALUE"""),1)</f>
        <v>1</v>
      </c>
      <c r="D4" s="0" t="str">
        <f aca="false">IFERROR(__xludf.dummyfunction("""COMPUTED_VALUE"""),"AICI201903-1-1| Unificar el instrumento de medicion entre la direccion de ambulatorios y Desarrollo institucional. - 30/11/2019")</f>
        <v>AICI201903-1-1| Unificar el instrumento de medicion entre la direccion de ambulatorios y Desarrollo institucional. - 30/11/2019</v>
      </c>
      <c r="E4" s="0" t="str">
        <f aca="false">IFERROR(__xludf.dummyfunction("""COMPUTED_VALUE"""),"En mes de octubre de 2019 se realizo unificación de indicadores de oportunidad:  CIP, Generales y Capital Salud.  Se definió un instrumento en Google Drive como repositorio de los indicadores.  No obstante para agenda estratégica se utiliza la fuente de g"&amp;"enerales; para los demás informes se utiliza CIP .")</f>
        <v>En mes de octubre de 2019 se realizo unificación de indicadores de oportunidad:  CIP, Generales y Capital Salud.  Se definió un instrumento en Google Drive como repositorio de los indicadores.  No obstante para agenda estratégica se utiliza la fuente de generales; para los demás informes se utiliza CIP .</v>
      </c>
      <c r="F4" s="0" t="str">
        <f aca="false">IFERROR(__xludf.dummyfunction("""COMPUTED_VALUE"""),"Completo")</f>
        <v>Completo</v>
      </c>
      <c r="G4" s="20" t="str">
        <f aca="false">IFERROR(__xludf.dummyfunction("""COMPUTED_VALUE"""),"https://drive.google.com/open?id=1ei4y7LA4F4osxNiEc2mH0TZtS9aK5rlm")</f>
        <v>https://drive.google.com/open?id=1ei4y7LA4F4osxNiEc2mH0TZtS9aK5rlm</v>
      </c>
    </row>
    <row r="5" customFormat="false" ht="14.25" hidden="false" customHeight="false" outlineLevel="0" collapsed="false">
      <c r="A5" s="18" t="str">
        <f aca="false">IFERROR(MID(D5,1,FIND("|",D5)-1)&amp;"-"&amp;C5,"")</f>
        <v>AICI201903-2-1-1</v>
      </c>
      <c r="B5" s="19" t="n">
        <f aca="false">IFERROR(__xludf.dummyfunction("""COMPUTED_VALUE"""),43853)</f>
        <v>43853</v>
      </c>
      <c r="C5" s="0" t="n">
        <f aca="false">IFERROR(__xludf.dummyfunction("""COMPUTED_VALUE"""),1)</f>
        <v>1</v>
      </c>
      <c r="D5" s="0" t="str">
        <f aca="false">IFERROR(__xludf.dummyfunction("""COMPUTED_VALUE"""),"AICI201903-2-1| Seguimiento a las metas propuestas en vigencia 2019 - 30/11/2019")</f>
        <v>AICI201903-2-1| Seguimiento a las metas propuestas en vigencia 2019 - 30/11/2019</v>
      </c>
      <c r="E5" s="0" t="str">
        <f aca="false">IFERROR(__xludf.dummyfunction("""COMPUTED_VALUE"""),"Se evidencia mediante acta de seguimiento del POA 2019 la evaluación de cada una de las metas de la dirección.  Con un cumplimiento a tercer trimestre de 97%  frente a lo propuesto en el POA. ")</f>
        <v>Se evidencia mediante acta de seguimiento del POA 2019 la evaluación de cada una de las metas de la dirección.  Con un cumplimiento a tercer trimestre de 97%  frente a lo propuesto en el POA. </v>
      </c>
      <c r="F5" s="0" t="str">
        <f aca="false">IFERROR(__xludf.dummyfunction("""COMPUTED_VALUE"""),"Completo")</f>
        <v>Completo</v>
      </c>
      <c r="G5" s="20" t="str">
        <f aca="false">IFERROR(__xludf.dummyfunction("""COMPUTED_VALUE"""),"https://drive.google.com/open?id=1cG9SFwg5RfKqCxk9iz3vj_POtzbvuVPU")</f>
        <v>https://drive.google.com/open?id=1cG9SFwg5RfKqCxk9iz3vj_POtzbvuVPU</v>
      </c>
    </row>
    <row r="6" customFormat="false" ht="14.25" hidden="false" customHeight="false" outlineLevel="0" collapsed="false">
      <c r="A6" s="18" t="str">
        <f aca="false">IFERROR(MID(D6,1,FIND("|",D6)-1)&amp;"-"&amp;C6,"")</f>
        <v>AICI201903-3-1-1</v>
      </c>
      <c r="B6" s="19" t="n">
        <f aca="false">IFERROR(__xludf.dummyfunction("""COMPUTED_VALUE"""),43853)</f>
        <v>43853</v>
      </c>
      <c r="C6" s="0" t="n">
        <f aca="false">IFERROR(__xludf.dummyfunction("""COMPUTED_VALUE"""),1)</f>
        <v>1</v>
      </c>
      <c r="D6" s="0" t="str">
        <f aca="false">IFERROR(__xludf.dummyfunction("""COMPUTED_VALUE"""),"AICI201903-3-1| Verificacion y aplicacion Instructivo seguimiento Demanda Oferta de los servicios con alta Demanda - 30/11/2019")</f>
        <v>AICI201903-3-1| Verificacion y aplicacion Instructivo seguimiento Demanda Oferta de los servicios con alta Demanda - 30/11/2019</v>
      </c>
      <c r="E6" s="0" t="str">
        <f aca="false">IFERROR(__xludf.dummyfunction("""COMPUTED_VALUE"""),"Se cuenta con instructivo oferta demanda insatisfecha, el cual no se encuentra normalizado por calidad.")</f>
        <v>Se cuenta con instructivo oferta demanda insatisfecha, el cual no se encuentra normalizado por calidad.</v>
      </c>
      <c r="F6" s="0" t="str">
        <f aca="false">IFERROR(__xludf.dummyfunction("""COMPUTED_VALUE"""),"En desarrollo")</f>
        <v>En desarrollo</v>
      </c>
      <c r="G6" s="20" t="str">
        <f aca="false">IFERROR(__xludf.dummyfunction("""COMPUTED_VALUE"""),"https://drive.google.com/open?id=1FsNvNsWZAX0Hpxk-K6oyi-pwaj03xmFf")</f>
        <v>https://drive.google.com/open?id=1FsNvNsWZAX0Hpxk-K6oyi-pwaj03xmFf</v>
      </c>
    </row>
    <row r="7" customFormat="false" ht="14.25" hidden="false" customHeight="false" outlineLevel="0" collapsed="false">
      <c r="A7" s="18" t="str">
        <f aca="false">IFERROR(MID(D7,1,FIND("|",D7)-1)&amp;"-"&amp;C7,"")</f>
        <v>AICI201903-3-2-1</v>
      </c>
      <c r="B7" s="19" t="n">
        <f aca="false">IFERROR(__xludf.dummyfunction("""COMPUTED_VALUE"""),43853)</f>
        <v>43853</v>
      </c>
      <c r="C7" s="0" t="n">
        <f aca="false">IFERROR(__xludf.dummyfunction("""COMPUTED_VALUE"""),1)</f>
        <v>1</v>
      </c>
      <c r="D7" s="0" t="str">
        <f aca="false">IFERROR(__xludf.dummyfunction("""COMPUTED_VALUE"""),"AICI201903-3-2| Registrar demanda insatisfecha por parte de Atención al usuario - 30/11/2019")</f>
        <v>AICI201903-3-2| Registrar demanda insatisfecha por parte de Atención al usuario - 30/11/2019</v>
      </c>
      <c r="E7" s="0" t="str">
        <f aca="false">IFERROR(__xludf.dummyfunction("""COMPUTED_VALUE"""),"mediante articulación entre ambulatorios, atención al usuario y call center, se desarrollo un instrumento para el registro de la demanda insatisfecha, el cual permite hacer un control mensual sobre las especialidades con mayor demanda.")</f>
        <v>mediante articulación entre ambulatorios, atención al usuario y call center, se desarrollo un instrumento para el registro de la demanda insatisfecha, el cual permite hacer un control mensual sobre las especialidades con mayor demanda.</v>
      </c>
      <c r="F7" s="0" t="str">
        <f aca="false">IFERROR(__xludf.dummyfunction("""COMPUTED_VALUE"""),"Completo")</f>
        <v>Completo</v>
      </c>
      <c r="G7" s="20" t="str">
        <f aca="false">IFERROR(__xludf.dummyfunction("""COMPUTED_VALUE"""),"https://drive.google.com/open?id=17hWeHsilNJdy41AuZDRu1YNj21FRVIsg")</f>
        <v>https://drive.google.com/open?id=17hWeHsilNJdy41AuZDRu1YNj21FRVIsg</v>
      </c>
    </row>
    <row r="8" customFormat="false" ht="14.25" hidden="false" customHeight="false" outlineLevel="0" collapsed="false">
      <c r="A8" s="18" t="str">
        <f aca="false">IFERROR(MID(D8,1,FIND("|",D8)-1)&amp;"-"&amp;C8,"")</f>
        <v>AICI201903-4-1-1</v>
      </c>
      <c r="B8" s="19" t="n">
        <f aca="false">IFERROR(__xludf.dummyfunction("""COMPUTED_VALUE"""),43853)</f>
        <v>43853</v>
      </c>
      <c r="C8" s="0" t="n">
        <f aca="false">IFERROR(__xludf.dummyfunction("""COMPUTED_VALUE"""),1)</f>
        <v>1</v>
      </c>
      <c r="D8" s="0" t="str">
        <f aca="false">IFERROR(__xludf.dummyfunction("""COMPUTED_VALUE"""),"AICI201903-4-1| Implementacion tableros de control en Apertura de agendas, desde el area de programacion de Ambulatorios - 30/11/2019")</f>
        <v>AICI201903-4-1| Implementacion tableros de control en Apertura de agendas, desde el area de programacion de Ambulatorios - 30/11/2019</v>
      </c>
      <c r="E8" s="0" t="str">
        <f aca="false">IFERROR(__xludf.dummyfunction("""COMPUTED_VALUE"""),"Se construyo un instrumento para el envío diario de la disponibilidad de agendas con el fin  de gestionar la disponibilidad en cada una de las sedes y call center.")</f>
        <v>Se construyo un instrumento para el envío diario de la disponibilidad de agendas con el fin  de gestionar la disponibilidad en cada una de las sedes y call center.</v>
      </c>
      <c r="F8" s="0" t="str">
        <f aca="false">IFERROR(__xludf.dummyfunction("""COMPUTED_VALUE"""),"Completo")</f>
        <v>Completo</v>
      </c>
      <c r="G8" s="20" t="str">
        <f aca="false">IFERROR(__xludf.dummyfunction("""COMPUTED_VALUE"""),"https://drive.google.com/open?id=1zgA5DSVYIqVgYI-Czwl9SQRBnHdkYSru")</f>
        <v>https://drive.google.com/open?id=1zgA5DSVYIqVgYI-Czwl9SQRBnHdkYSru</v>
      </c>
    </row>
    <row r="9" customFormat="false" ht="14.25" hidden="false" customHeight="false" outlineLevel="0" collapsed="false">
      <c r="A9" s="18" t="str">
        <f aca="false">IFERROR(MID(D9,1,FIND("|",D9)-1)&amp;"-"&amp;C9,"")</f>
        <v>AICI201903-5-1-1</v>
      </c>
      <c r="B9" s="19" t="n">
        <f aca="false">IFERROR(__xludf.dummyfunction("""COMPUTED_VALUE"""),43853)</f>
        <v>43853</v>
      </c>
      <c r="C9" s="0" t="n">
        <f aca="false">IFERROR(__xludf.dummyfunction("""COMPUTED_VALUE"""),1)</f>
        <v>1</v>
      </c>
      <c r="D9" s="0" t="str">
        <f aca="false">IFERROR(__xludf.dummyfunction("""COMPUTED_VALUE"""),"AICI201903-5-1| Mesa de trabajo con area de facturacion y sistemas para detectar consultadores cronicos - 30/10/2019")</f>
        <v>AICI201903-5-1| Mesa de trabajo con area de facturacion y sistemas para detectar consultadores cronicos - 30/10/2019</v>
      </c>
      <c r="E9" s="0" t="str">
        <f aca="false">IFERROR(__xludf.dummyfunction("""COMPUTED_VALUE"""),"A través de las mesas de trabajo del call center se genera listado de consultadores frecuentes.  Adicionalmente, se implementaron controles de verificación de solicitud de la consulta y retro alimentación a los usuarios de capital salud. ")</f>
        <v>A través de las mesas de trabajo del call center se genera listado de consultadores frecuentes.  Adicionalmente, se implementaron controles de verificación de solicitud de la consulta y retro alimentación a los usuarios de capital salud. </v>
      </c>
      <c r="F9" s="0" t="str">
        <f aca="false">IFERROR(__xludf.dummyfunction("""COMPUTED_VALUE"""),"Completo")</f>
        <v>Completo</v>
      </c>
      <c r="G9" s="20" t="str">
        <f aca="false">IFERROR(__xludf.dummyfunction("""COMPUTED_VALUE"""),"https://drive.google.com/open?id=1nNTbTnk365PjYZ82usaT7Qq8r8RARqPY")</f>
        <v>https://drive.google.com/open?id=1nNTbTnk365PjYZ82usaT7Qq8r8RARqPY</v>
      </c>
    </row>
    <row r="10" customFormat="false" ht="14.25" hidden="false" customHeight="false" outlineLevel="0" collapsed="false">
      <c r="A10" s="18" t="str">
        <f aca="false">IFERROR(MID(D10,1,FIND("|",D10)-1)&amp;"-"&amp;C10,"")</f>
        <v>AICI201903-6-1-1</v>
      </c>
      <c r="B10" s="19" t="n">
        <f aca="false">IFERROR(__xludf.dummyfunction("""COMPUTED_VALUE"""),43853)</f>
        <v>43853</v>
      </c>
      <c r="C10" s="0" t="n">
        <f aca="false">IFERROR(__xludf.dummyfunction("""COMPUTED_VALUE"""),1)</f>
        <v>1</v>
      </c>
      <c r="D10" s="0" t="str">
        <f aca="false">IFERROR(__xludf.dummyfunction("""COMPUTED_VALUE"""),"AICI201903-6-1| Unificar el instrumento de medicion de cupos sin vender entre la direccion de ambulatorios y Desarrollo institucional. - 30/10/2019")</f>
        <v>AICI201903-6-1| Unificar el instrumento de medicion de cupos sin vender entre la direccion de ambulatorios y Desarrollo institucional. - 30/10/2019</v>
      </c>
      <c r="E10" s="0" t="str">
        <f aca="false">IFERROR(__xludf.dummyfunction("""COMPUTED_VALUE"""),"Mediante estrategia de cupos extras para cada una de las especialidades y el instrumento de registro y reporte diario de disponibilidad de agendas se incrementó la venta efectiva de cupos, disminuyendo la inproductividad del 26% al 13% para el cuarto trim"&amp;"estre de 2019.")</f>
        <v>Mediante estrategia de cupos extras para cada una de las especialidades y el instrumento de registro y reporte diario de disponibilidad de agendas se incrementó la venta efectiva de cupos, disminuyendo la inproductividad del 26% al 13% para el cuarto trimestre de 2019.</v>
      </c>
      <c r="F10" s="0" t="str">
        <f aca="false">IFERROR(__xludf.dummyfunction("""COMPUTED_VALUE"""),"En desarrollo")</f>
        <v>En desarrollo</v>
      </c>
    </row>
    <row r="11" customFormat="false" ht="14.25" hidden="false" customHeight="false" outlineLevel="0" collapsed="false">
      <c r="A11" s="18" t="str">
        <f aca="false">IFERROR(MID(D11,1,FIND("|",D11)-1)&amp;"-"&amp;C11,"")</f>
        <v>AICI201903-7-1-1</v>
      </c>
      <c r="B11" s="19" t="n">
        <f aca="false">IFERROR(__xludf.dummyfunction("""COMPUTED_VALUE"""),43853)</f>
        <v>43853</v>
      </c>
      <c r="C11" s="0" t="n">
        <f aca="false">IFERROR(__xludf.dummyfunction("""COMPUTED_VALUE"""),1)</f>
        <v>1</v>
      </c>
      <c r="D11" s="0" t="str">
        <f aca="false">IFERROR(__xludf.dummyfunction("""COMPUTED_VALUE"""),"AICI201903-7-1| Reporte permanente de disponibilidad de citas entre las unidades de servicios de salud con los referentes de sede. Socializacion al área de asignacion presencial y a call centes de cupos disponibles. - 30/11/2019")</f>
        <v>AICI201903-7-1| Reporte permanente de disponibilidad de citas entre las unidades de servicios de salud con los referentes de sede. Socializacion al área de asignacion presencial y a call centes de cupos disponibles. - 30/11/2019</v>
      </c>
      <c r="E11" s="0" t="str">
        <f aca="false">IFERROR(__xludf.dummyfunction("""COMPUTED_VALUE"""),"A través de la estrategia del registro de cupos disponibles y socialización a cada uno de los referentes de sedes y al call center distrital se redujo del 16% al 7.8% ")</f>
        <v>A través de la estrategia del registro de cupos disponibles y socialización a cada uno de los referentes de sedes y al call center distrital se redujo del 16% al 7.8% </v>
      </c>
      <c r="F11" s="0" t="str">
        <f aca="false">IFERROR(__xludf.dummyfunction("""COMPUTED_VALUE"""),"Completo")</f>
        <v>Completo</v>
      </c>
      <c r="G11" s="20" t="str">
        <f aca="false">IFERROR(__xludf.dummyfunction("""COMPUTED_VALUE"""),"https://drive.google.com/open?id=1_KTKzl9Mx_Dn9OawptJToG7_0L4G3Zgl")</f>
        <v>https://drive.google.com/open?id=1_KTKzl9Mx_Dn9OawptJToG7_0L4G3Zgl</v>
      </c>
    </row>
    <row r="12" customFormat="false" ht="14.25" hidden="false" customHeight="false" outlineLevel="0" collapsed="false">
      <c r="A12" s="18" t="str">
        <f aca="false">IFERROR(MID(D12,1,FIND("|",D12)-1)&amp;"-"&amp;C12,"")</f>
        <v>AICI201903-8-1-1</v>
      </c>
      <c r="B12" s="19" t="n">
        <f aca="false">IFERROR(__xludf.dummyfunction("""COMPUTED_VALUE"""),43853)</f>
        <v>43853</v>
      </c>
      <c r="C12" s="0" t="n">
        <f aca="false">IFERROR(__xludf.dummyfunction("""COMPUTED_VALUE"""),1)</f>
        <v>1</v>
      </c>
      <c r="D12" s="0" t="str">
        <f aca="false">IFERROR(__xludf.dummyfunction("""COMPUTED_VALUE"""),"AICI201903-8-1| Estrategia de recuperación con cupos extras o adicionales: Llamada o mensaje de texto como estrategia de recordacion a cita asignada, cumplir comparendo pedagogico para nueva asignación de cita. - 30/10/2019")</f>
        <v>AICI201903-8-1| Estrategia de recuperación con cupos extras o adicionales: Llamada o mensaje de texto como estrategia de recordacion a cita asignada, cumplir comparendo pedagogico para nueva asignación de cita. - 30/10/2019</v>
      </c>
      <c r="E12" s="0" t="str">
        <f aca="false">IFERROR(__xludf.dummyfunction("""COMPUTED_VALUE"""),"A través de citas extras, mensajes de texto recordatorios se disminuyo la inasistencia del 10% al 6.4%.  Con relación a los comparendos, se maneja una agenda especial para talleres pedagógicos.")</f>
        <v>A través de citas extras, mensajes de texto recordatorios se disminuyo la inasistencia del 10% al 6.4%.  Con relación a los comparendos, se maneja una agenda especial para talleres pedagógicos.</v>
      </c>
      <c r="F12" s="0" t="str">
        <f aca="false">IFERROR(__xludf.dummyfunction("""COMPUTED_VALUE"""),"Completo")</f>
        <v>Completo</v>
      </c>
    </row>
    <row r="13" customFormat="false" ht="14.25" hidden="false" customHeight="false" outlineLevel="0" collapsed="false">
      <c r="A13" s="18" t="str">
        <f aca="false">IFERROR(MID(D13,1,FIND("|",D13)-1)&amp;"-"&amp;C13,"")</f>
        <v>AICI201903-9-1-1</v>
      </c>
      <c r="B13" s="19" t="n">
        <f aca="false">IFERROR(__xludf.dummyfunction("""COMPUTED_VALUE"""),43853)</f>
        <v>43853</v>
      </c>
      <c r="C13" s="0" t="n">
        <f aca="false">IFERROR(__xludf.dummyfunction("""COMPUTED_VALUE"""),1)</f>
        <v>1</v>
      </c>
      <c r="D13" s="0" t="str">
        <f aca="false">IFERROR(__xludf.dummyfunction("""COMPUTED_VALUE"""),"AICI201903-9-1| Reorganizacion de las agendas ppor Unidades, de acuerdo a la poblacion adscrita en cada CAPS. Llamada de Recordacion de citas 24 horas antes de la misma a traves del Call center - 31/08/2019")</f>
        <v>AICI201903-9-1| Reorganizacion de las agendas ppor Unidades, de acuerdo a la poblacion adscrita en cada CAPS. Llamada de Recordacion de citas 24 horas antes de la misma a traves del Call center - 31/08/2019</v>
      </c>
      <c r="E13" s="0" t="str">
        <f aca="false">IFERROR(__xludf.dummyfunction("""COMPUTED_VALUE"""),"Para el cuarto trimestre de 2019 se evidencia una efectividad de las agendas para las especialidades básicas tuvo un incremento del 74% al 83%.  Con relación a la población adscrita, esta actividad se realiza con articulación del riesgo.")</f>
        <v>Para el cuarto trimestre de 2019 se evidencia una efectividad de las agendas para las especialidades básicas tuvo un incremento del 74% al 83%.  Con relación a la población adscrita, esta actividad se realiza con articulación del riesgo.</v>
      </c>
      <c r="F13" s="0" t="str">
        <f aca="false">IFERROR(__xludf.dummyfunction("""COMPUTED_VALUE"""),"Completo")</f>
        <v>Completo</v>
      </c>
    </row>
    <row r="14" customFormat="false" ht="14.25" hidden="false" customHeight="false" outlineLevel="0" collapsed="false">
      <c r="A14" s="18" t="str">
        <f aca="false">IFERROR(MID(D14,1,FIND("|",D14)-1)&amp;"-"&amp;C14,"")</f>
        <v>AICI201903-8-1-1</v>
      </c>
      <c r="B14" s="19" t="n">
        <f aca="false">IFERROR(__xludf.dummyfunction("""COMPUTED_VALUE"""),43858)</f>
        <v>43858</v>
      </c>
      <c r="C14" s="0" t="n">
        <f aca="false">IFERROR(__xludf.dummyfunction("""COMPUTED_VALUE"""),1)</f>
        <v>1</v>
      </c>
      <c r="D14" s="0" t="str">
        <f aca="false">IFERROR(__xludf.dummyfunction("""COMPUTED_VALUE"""),"AICI201903-8-1| Estrategia de recuperación con cupos extras o adicionales: Llamada o mensaje de texto como estrategia de recordacion a cita asignada, cumplir comparendo pedagogico para nueva asignación de cita. - 30/10/2019")</f>
        <v>AICI201903-8-1| Estrategia de recuperación con cupos extras o adicionales: Llamada o mensaje de texto como estrategia de recordacion a cita asignada, cumplir comparendo pedagogico para nueva asignación de cita. - 30/10/2019</v>
      </c>
      <c r="E14" s="0" t="str">
        <f aca="false">IFERROR(__xludf.dummyfunction("""COMPUTED_VALUE"""),"Se adiciona base de datos con cupos extras del mes de Noviembre,el calll center envía notificación 12 y 24 hrs antes,se asignan agendas de comparendos pedagogicos.")</f>
        <v>Se adiciona base de datos con cupos extras del mes de Noviembre,el calll center envía notificación 12 y 24 hrs antes,se asignan agendas de comparendos pedagogicos.</v>
      </c>
      <c r="F14" s="0" t="str">
        <f aca="false">IFERROR(__xludf.dummyfunction("""COMPUTED_VALUE"""),"Completo")</f>
        <v>Completo</v>
      </c>
      <c r="G14" s="0" t="str">
        <f aca="false">IFERROR(__xludf.dummyfunction("""COMPUTED_VALUE"""),"https://drive.google.com/open?id=1gVRZZeQ2KmLBXntuibcT_lmhuLjJo4ua, https://drive.google.com/open?id=1NVy0hBztxsRjK88YtOK8sYS3S02KBtd9")</f>
        <v>https://drive.google.com/open?id=1gVRZZeQ2KmLBXntuibcT_lmhuLjJo4ua, https://drive.google.com/open?id=1NVy0hBztxsRjK88YtOK8sYS3S02KBtd9</v>
      </c>
    </row>
    <row r="15" customFormat="false" ht="14.25" hidden="false" customHeight="false" outlineLevel="0" collapsed="false">
      <c r="A15" s="18" t="str">
        <f aca="false">IFERROR(MID(D15,1,FIND("|",D15)-1)&amp;"-"&amp;C15,"")</f>
        <v>AICI201903-9-1-1</v>
      </c>
      <c r="B15" s="19" t="n">
        <f aca="false">IFERROR(__xludf.dummyfunction("""COMPUTED_VALUE"""),43858)</f>
        <v>43858</v>
      </c>
      <c r="C15" s="0" t="n">
        <f aca="false">IFERROR(__xludf.dummyfunction("""COMPUTED_VALUE"""),1)</f>
        <v>1</v>
      </c>
      <c r="D15" s="0" t="str">
        <f aca="false">IFERROR(__xludf.dummyfunction("""COMPUTED_VALUE"""),"AICI201903-9-1| Reorganizacion de las agendas ppor Unidades, de acuerdo a la poblacion adscrita en cada CAPS. Llamada de Recordacion de citas 24 horas antes de la misma a traves del Call center - 31/08/2019")</f>
        <v>AICI201903-9-1| Reorganizacion de las agendas ppor Unidades, de acuerdo a la poblacion adscrita en cada CAPS. Llamada de Recordacion de citas 24 horas antes de la misma a traves del Call center - 31/08/2019</v>
      </c>
      <c r="E15" s="0" t="str">
        <f aca="false">IFERROR(__xludf.dummyfunction("""COMPUTED_VALUE"""),"Se realiza reorganización de agendas con los diferentes gestores de acuerdo a los cupos disponibles en cada sitio,se anexa indicador del call center de recordación de llamadas que se realiza antes de 12 y 24 hras")</f>
        <v>Se realiza reorganización de agendas con los diferentes gestores de acuerdo a los cupos disponibles en cada sitio,se anexa indicador del call center de recordación de llamadas que se realiza antes de 12 y 24 hras</v>
      </c>
      <c r="F15" s="0" t="str">
        <f aca="false">IFERROR(__xludf.dummyfunction("""COMPUTED_VALUE"""),"Completo")</f>
        <v>Completo</v>
      </c>
      <c r="G15" s="20" t="str">
        <f aca="false">IFERROR(__xludf.dummyfunction("""COMPUTED_VALUE"""),"https://drive.google.com/open?id=1vacmO5CV8Eu8Ww-sFcI5M-Eta4IcX9iF")</f>
        <v>https://drive.google.com/open?id=1vacmO5CV8Eu8Ww-sFcI5M-Eta4IcX9iF</v>
      </c>
    </row>
    <row r="16" customFormat="false" ht="14.25" hidden="false" customHeight="false" outlineLevel="0" collapsed="false">
      <c r="A16" s="18" t="str">
        <f aca="false">IFERROR(MID(D16,1,FIND("|",D16)-1)&amp;"-"&amp;C16,"")</f>
        <v>AICI201903-10-1-1</v>
      </c>
      <c r="B16" s="19" t="n">
        <f aca="false">IFERROR(__xludf.dummyfunction("""COMPUTED_VALUE"""),43858)</f>
        <v>43858</v>
      </c>
      <c r="C16" s="0" t="n">
        <f aca="false">IFERROR(__xludf.dummyfunction("""COMPUTED_VALUE"""),1)</f>
        <v>1</v>
      </c>
      <c r="D16" s="0" t="str">
        <f aca="false">IFERROR(__xludf.dummyfunction("""COMPUTED_VALUE"""),"AICI201903-10-1| Incremento de Horas de Recuirso Humano en las especialidades con mayor numero de demanda insatisfecha - 30/11/2019")</f>
        <v>AICI201903-10-1| Incremento de Horas de Recuirso Humano en las especialidades con mayor numero de demanda insatisfecha - 30/11/2019</v>
      </c>
      <c r="E16" s="0" t="str">
        <f aca="false">IFERROR(__xludf.dummyfunction("""COMPUTED_VALUE"""),"Gestión de demanda insatisfecha mes a mes,sin embargo quedan algunas subespecialidades,donde no se consigue talento humano en toda la subred")</f>
        <v>Gestión de demanda insatisfecha mes a mes,sin embargo quedan algunas subespecialidades,donde no se consigue talento humano en toda la subred</v>
      </c>
      <c r="F16" s="0" t="str">
        <f aca="false">IFERROR(__xludf.dummyfunction("""COMPUTED_VALUE"""),"En desarrollo")</f>
        <v>En desarrollo</v>
      </c>
      <c r="G16" s="20" t="str">
        <f aca="false">IFERROR(__xludf.dummyfunction("""COMPUTED_VALUE"""),"https://drive.google.com/open?id=1YCx9dbWvoewSFwuFpKpfCsa7eoQpYsgO")</f>
        <v>https://drive.google.com/open?id=1YCx9dbWvoewSFwuFpKpfCsa7eoQpYsgO</v>
      </c>
    </row>
    <row r="17" customFormat="false" ht="14.25" hidden="false" customHeight="false" outlineLevel="0" collapsed="false">
      <c r="A17" s="18" t="str">
        <f aca="false">IFERROR(MID(D17,1,FIND("|",D17)-1)&amp;"-"&amp;C17,"")</f>
        <v>AICI201903-12-1-1</v>
      </c>
      <c r="B17" s="19" t="n">
        <f aca="false">IFERROR(__xludf.dummyfunction("""COMPUTED_VALUE"""),43858)</f>
        <v>43858</v>
      </c>
      <c r="C17" s="0" t="n">
        <f aca="false">IFERROR(__xludf.dummyfunction("""COMPUTED_VALUE"""),1)</f>
        <v>1</v>
      </c>
      <c r="D17" s="0" t="str">
        <f aca="false">IFERROR(__xludf.dummyfunction("""COMPUTED_VALUE"""),"AICI201903-12-1| Incremento de Horas de Recuirso Humano en las especialidades con mayor numero de demanda insatisfecha Socializacion de eventos adversos y acciones de mejora para prevenirlos Seguimiento permananente a la reorganizacion de los servicios en"&amp;" cada CAPS de acuerdo a la poblacion adscrita - 30/11/2019")</f>
        <v>AICI201903-12-1| Incremento de Horas de Recuirso Humano en las especialidades con mayor numero de demanda insatisfecha Socializacion de eventos adversos y acciones de mejora para prevenirlos Seguimiento permananente a la reorganizacion de los servicios en cada CAPS de acuerdo a la poblacion adscrita - 30/11/2019</v>
      </c>
      <c r="E17" s="0" t="str">
        <f aca="false">IFERROR(__xludf.dummyfunction("""COMPUTED_VALUE"""),"Para el tercer trimestre de 2019,se observa disminución de la oportunidad en consultas especializadas y en eventos adversos,se cumplió con la meta de reprogramación de agendas,los 3 riesgos se encuentran controlados")</f>
        <v>Para el tercer trimestre de 2019,se observa disminución de la oportunidad en consultas especializadas y en eventos adversos,se cumplió con la meta de reprogramación de agendas,los 3 riesgos se encuentran controlados</v>
      </c>
      <c r="F17" s="0" t="str">
        <f aca="false">IFERROR(__xludf.dummyfunction("""COMPUTED_VALUE"""),"Completo")</f>
        <v>Completo</v>
      </c>
      <c r="G17" s="0" t="str">
        <f aca="false">IFERROR(__xludf.dummyfunction("""COMPUTED_VALUE"""),"https://drive.google.com/open?id=11wGDrs8DMG5mVpA2zkPg98hTL2OtYXYY, https://drive.google.com/open?id=116UcQnUvAkMZFKIdZHXYDoOr4qfsam__")</f>
        <v>https://drive.google.com/open?id=11wGDrs8DMG5mVpA2zkPg98hTL2OtYXYY, https://drive.google.com/open?id=116UcQnUvAkMZFKIdZHXYDoOr4qfsam__</v>
      </c>
    </row>
    <row r="18" customFormat="false" ht="14.25" hidden="false" customHeight="false" outlineLevel="0" collapsed="false">
      <c r="A18" s="18" t="str">
        <f aca="false">IFERROR(MID(D18,1,FIND("|",D18)-1)&amp;"-"&amp;C18,"")</f>
        <v>AICI201903-14-1-1</v>
      </c>
      <c r="B18" s="19" t="n">
        <f aca="false">IFERROR(__xludf.dummyfunction("""COMPUTED_VALUE"""),43858)</f>
        <v>43858</v>
      </c>
      <c r="C18" s="0" t="n">
        <f aca="false">IFERROR(__xludf.dummyfunction("""COMPUTED_VALUE"""),1)</f>
        <v>1</v>
      </c>
      <c r="D18" s="0" t="str">
        <f aca="false">IFERROR(__xludf.dummyfunction("""COMPUTED_VALUE"""),"AICI201903-14-1| Socializar a personal eventos relevantes de seguridad de pacientes - 30/11/2019")</f>
        <v>AICI201903-14-1| Socializar a personal eventos relevantes de seguridad de pacientes - 30/11/2019</v>
      </c>
      <c r="E18" s="0" t="str">
        <f aca="false">IFERROR(__xludf.dummyfunction("""COMPUTED_VALUE"""),"Se anexa acta de socialización de eventos adversos en Caps Gaitana de Agosto 28 de 2019,se asignaron 2 profesionales en odontología para capacitar en seguridad de pacientes ")</f>
        <v>Se anexa acta de socialización de eventos adversos en Caps Gaitana de Agosto 28 de 2019,se asignaron 2 profesionales en odontología para capacitar en seguridad de pacientes </v>
      </c>
      <c r="F18" s="0" t="str">
        <f aca="false">IFERROR(__xludf.dummyfunction("""COMPUTED_VALUE"""),"Completo")</f>
        <v>Completo</v>
      </c>
      <c r="G18" s="0" t="str">
        <f aca="false">IFERROR(__xludf.dummyfunction("""COMPUTED_VALUE"""),"https://drive.google.com/open?id=1sWMR2SWP8m72MdvJrt15v2J8Tn3Uuf1B, https://drive.google.com/open?id=1OM6n4-yQmjJ6jZTk6iLDaDEawYG6Mmld, https://drive.google.com/open?id=1iSbaX1cRsSQdEzZwtrYkbPxdM12OoloS")</f>
        <v>https://drive.google.com/open?id=1sWMR2SWP8m72MdvJrt15v2J8Tn3Uuf1B, https://drive.google.com/open?id=1OM6n4-yQmjJ6jZTk6iLDaDEawYG6Mmld, https://drive.google.com/open?id=1iSbaX1cRsSQdEzZwtrYkbPxdM12OoloS</v>
      </c>
    </row>
    <row r="19" customFormat="false" ht="14.25" hidden="false" customHeight="false" outlineLevel="0" collapsed="false">
      <c r="A19" s="18" t="str">
        <f aca="false">IFERROR(MID(D19,1,FIND("|",D19)-1)&amp;"-"&amp;C19,"")</f>
        <v>AICI201903-15-1-1</v>
      </c>
      <c r="B19" s="19" t="n">
        <f aca="false">IFERROR(__xludf.dummyfunction("""COMPUTED_VALUE"""),43858)</f>
        <v>43858</v>
      </c>
      <c r="C19" s="0" t="n">
        <f aca="false">IFERROR(__xludf.dummyfunction("""COMPUTED_VALUE"""),1)</f>
        <v>1</v>
      </c>
      <c r="D19" s="0" t="str">
        <f aca="false">IFERROR(__xludf.dummyfunction("""COMPUTED_VALUE"""),"AICI201903-15-1| Realizar reporte de novedada en habilitación para prestación del servicio. Seguimiento a las Novedades presentadas - 30/08/2019")</f>
        <v>AICI201903-15-1| Realizar reporte de novedada en habilitación para prestación del servicio. Seguimiento a las Novedades presentadas - 30/08/2019</v>
      </c>
      <c r="E19" s="0" t="str">
        <f aca="false">IFERROR(__xludf.dummyfunction("""COMPUTED_VALUE"""),"Se realiza seguimiento a las novedades de Habilitación,se anexa ultimo seguimiento")</f>
        <v>Se realiza seguimiento a las novedades de Habilitación,se anexa ultimo seguimiento</v>
      </c>
      <c r="F19" s="0" t="str">
        <f aca="false">IFERROR(__xludf.dummyfunction("""COMPUTED_VALUE"""),"Completo")</f>
        <v>Completo</v>
      </c>
      <c r="G19" s="20" t="str">
        <f aca="false">IFERROR(__xludf.dummyfunction("""COMPUTED_VALUE"""),"https://drive.google.com/open?id=1fbJmdMBtve8uMbHLEodw1dcHEfRgF3FJ")</f>
        <v>https://drive.google.com/open?id=1fbJmdMBtve8uMbHLEodw1dcHEfRgF3FJ</v>
      </c>
    </row>
    <row r="20" customFormat="false" ht="14.25" hidden="false" customHeight="false" outlineLevel="0" collapsed="false">
      <c r="A20" s="18" t="str">
        <f aca="false">IFERROR(MID(D20,1,FIND("|",D20)-1)&amp;"-"&amp;C20,"")</f>
        <v>AICI201903-15-1-1</v>
      </c>
      <c r="B20" s="19" t="n">
        <f aca="false">IFERROR(__xludf.dummyfunction("""COMPUTED_VALUE"""),43858)</f>
        <v>43858</v>
      </c>
      <c r="C20" s="0" t="n">
        <f aca="false">IFERROR(__xludf.dummyfunction("""COMPUTED_VALUE"""),1)</f>
        <v>1</v>
      </c>
      <c r="D20" s="0" t="str">
        <f aca="false">IFERROR(__xludf.dummyfunction("""COMPUTED_VALUE"""),"AICI201903-15-1| Realizar reporte de novedada en habilitación para prestación del servicio. Seguimiento a las Novedades presentadas - 30/08/2019")</f>
        <v>AICI201903-15-1| Realizar reporte de novedada en habilitación para prestación del servicio. Seguimiento a las Novedades presentadas - 30/08/2019</v>
      </c>
      <c r="E20" s="0" t="str">
        <f aca="false">IFERROR(__xludf.dummyfunction("""COMPUTED_VALUE"""),"Se realiza seguimiento a  novedades de Habilitación,se envia base de datos de servicios Habilitados a Enero 2020")</f>
        <v>Se realiza seguimiento a  novedades de Habilitación,se envia base de datos de servicios Habilitados a Enero 2020</v>
      </c>
      <c r="F20" s="0" t="str">
        <f aca="false">IFERROR(__xludf.dummyfunction("""COMPUTED_VALUE"""),"Completo")</f>
        <v>Completo</v>
      </c>
      <c r="G20" s="20" t="str">
        <f aca="false">IFERROR(__xludf.dummyfunction("""COMPUTED_VALUE"""),"https://drive.google.com/open?id=1gmrZ0dGU1G7HXpr2lX7g9ublWKUa-_fe")</f>
        <v>https://drive.google.com/open?id=1gmrZ0dGU1G7HXpr2lX7g9ublWKUa-_fe</v>
      </c>
    </row>
    <row r="21" customFormat="false" ht="14.25" hidden="false" customHeight="false" outlineLevel="0" collapsed="false">
      <c r="A21" s="18" t="str">
        <f aca="false">IFERROR(MID(D21,1,FIND("|",D21)-1)&amp;"-"&amp;C21,"")</f>
        <v>AICI201903-13-1-1</v>
      </c>
      <c r="B21" s="19" t="n">
        <f aca="false">IFERROR(__xludf.dummyfunction("""COMPUTED_VALUE"""),43858)</f>
        <v>43858</v>
      </c>
      <c r="C21" s="0" t="n">
        <f aca="false">IFERROR(__xludf.dummyfunction("""COMPUTED_VALUE"""),1)</f>
        <v>1</v>
      </c>
      <c r="D21" s="0" t="str">
        <f aca="false">IFERROR(__xludf.dummyfunction("""COMPUTED_VALUE"""),"AICI201903-13-1| Se realizan las acciones pertinentes para lograr dar cumplimiento a las acciones atrasadas del año 2018: Socializacion de guias, Redistribucion de recurso humano con el fin de dar soporte a la demanda de obstetricia y dar cumplimiento a l"&amp;"a oportunidad normativa de de la especialidad . Implementacion de estrategias como jornadas de fluorizacion y barniz, para dar cumplimiento a las metas solicitadas por P y D - 30/11/2019")</f>
        <v>AICI201903-13-1| Se realizan las acciones pertinentes para lograr dar cumplimiento a las acciones atrasadas del año 2018: Socializacion de guias, Redistribucion de recurso humano con el fin de dar soporte a la demanda de obstetricia y dar cumplimiento a la oportunidad normativa de de la especialidad . Implementacion de estrategias como jornadas de fluorizacion y barniz, para dar cumplimiento a las metas solicitadas por P y D - 30/11/2019</v>
      </c>
      <c r="E21" s="0" t="str">
        <f aca="false">IFERROR(__xludf.dummyfunction("""COMPUTED_VALUE"""),"Se anexa cuadro de cierre de oportunidades de mejora 2019 en el cual queda el 100% completo")</f>
        <v>Se anexa cuadro de cierre de oportunidades de mejora 2019 en el cual queda el 100% completo</v>
      </c>
      <c r="F21" s="0" t="str">
        <f aca="false">IFERROR(__xludf.dummyfunction("""COMPUTED_VALUE"""),"Completo")</f>
        <v>Completo</v>
      </c>
      <c r="G21" s="20" t="str">
        <f aca="false">IFERROR(__xludf.dummyfunction("""COMPUTED_VALUE"""),"https://drive.google.com/open?id=1JJCitjkANlPpne-ZPaH41BrGWVHegwYx")</f>
        <v>https://drive.google.com/open?id=1JJCitjkANlPpne-ZPaH41BrGWVHegwYx</v>
      </c>
    </row>
    <row r="22" customFormat="false" ht="14.25" hidden="false" customHeight="false" outlineLevel="0" collapsed="false">
      <c r="A22" s="18" t="str">
        <f aca="false">IFERROR(MID(D22,1,FIND("|",D22)-1)&amp;"-"&amp;C22,"")</f>
        <v>AICI201903-11-1-1</v>
      </c>
      <c r="B22" s="19" t="n">
        <f aca="false">IFERROR(__xludf.dummyfunction("""COMPUTED_VALUE"""),43858)</f>
        <v>43858</v>
      </c>
      <c r="C22" s="0" t="n">
        <f aca="false">IFERROR(__xludf.dummyfunction("""COMPUTED_VALUE"""),1)</f>
        <v>1</v>
      </c>
      <c r="D22" s="0" t="str">
        <f aca="false">IFERROR(__xludf.dummyfunction("""COMPUTED_VALUE"""),"AICI201903-11-1| Incremento de Horas de Recuirso Humano en las especialidades con mayor numero de demanda insatisfecha - 30/11/2019")</f>
        <v>AICI201903-11-1| Incremento de Horas de Recuirso Humano en las especialidades con mayor numero de demanda insatisfecha - 30/11/2019</v>
      </c>
      <c r="E22" s="0" t="str">
        <f aca="false">IFERROR(__xludf.dummyfunction("""COMPUTED_VALUE"""),"La solicitud de peticiones por solicitud de citas para el 2019 fué de 14%,se evidencia disminución de quejas")</f>
        <v>La solicitud de peticiones por solicitud de citas para el 2019 fué de 14%,se evidencia disminución de quejas</v>
      </c>
      <c r="F22" s="0" t="str">
        <f aca="false">IFERROR(__xludf.dummyfunction("""COMPUTED_VALUE"""),"Completo")</f>
        <v>Completo</v>
      </c>
      <c r="G22" s="20" t="str">
        <f aca="false">IFERROR(__xludf.dummyfunction("""COMPUTED_VALUE"""),"https://drive.google.com/open?id=1-iE7qBNggZNbD9Fd4FBZ1SLJnSEedE1T")</f>
        <v>https://drive.google.com/open?id=1-iE7qBNggZNbD9Fd4FBZ1SLJnSEedE1T</v>
      </c>
    </row>
    <row r="23" customFormat="false" ht="14.25" hidden="false" customHeight="false" outlineLevel="0" collapsed="false">
      <c r="A23" s="18" t="str">
        <f aca="false">IFERROR(MID(D23,1,FIND("|",D23)-1)&amp;"-"&amp;C23,"")</f>
        <v>AICI201903-3-1-2</v>
      </c>
      <c r="B23" s="19" t="n">
        <f aca="false">IFERROR(__xludf.dummyfunction("""COMPUTED_VALUE"""),44057)</f>
        <v>44057</v>
      </c>
      <c r="C23" s="0" t="n">
        <f aca="false">IFERROR(__xludf.dummyfunction("""COMPUTED_VALUE"""),2)</f>
        <v>2</v>
      </c>
      <c r="D23" s="0" t="str">
        <f aca="false">IFERROR(__xludf.dummyfunction("""COMPUTED_VALUE"""),"AICI201903-3-1| Verificacion y aplicacion Instructivo seguimiento Demanda Oferta de los servicios con alta Demanda - 30/11/2019")</f>
        <v>AICI201903-3-1| Verificacion y aplicacion Instructivo seguimiento Demanda Oferta de los servicios con alta Demanda - 30/11/2019</v>
      </c>
      <c r="E23" s="0" t="str">
        <f aca="false">IFERROR(__xludf.dummyfunction("""COMPUTED_VALUE"""),"no hay evidencias que soporten la acción,hubo cambio de líder del área")</f>
        <v>no hay evidencias que soporten la acción,hubo cambio de líder del área</v>
      </c>
      <c r="F23" s="0" t="str">
        <f aca="false">IFERROR(__xludf.dummyfunction("""COMPUTED_VALUE"""),"Atrasado")</f>
        <v>Atrasado</v>
      </c>
    </row>
    <row r="24" customFormat="false" ht="14.25" hidden="false" customHeight="false" outlineLevel="0" collapsed="false">
      <c r="A24" s="18" t="str">
        <f aca="false">IFERROR(MID(D24,1,FIND("|",D24)-1)&amp;"-"&amp;C24,"")</f>
        <v>AICI201903-6-1-2</v>
      </c>
      <c r="B24" s="19" t="n">
        <f aca="false">IFERROR(__xludf.dummyfunction("""COMPUTED_VALUE"""),44057)</f>
        <v>44057</v>
      </c>
      <c r="C24" s="0" t="n">
        <f aca="false">IFERROR(__xludf.dummyfunction("""COMPUTED_VALUE"""),2)</f>
        <v>2</v>
      </c>
      <c r="D24" s="0" t="str">
        <f aca="false">IFERROR(__xludf.dummyfunction("""COMPUTED_VALUE"""),"AICI201903-6-1| Unificar el instrumento de medicion de cupos sin vender entre la direccion de ambulatorios y Desarrollo institucional. - 30/10/2019")</f>
        <v>AICI201903-6-1| Unificar el instrumento de medicion de cupos sin vender entre la direccion de ambulatorios y Desarrollo institucional. - 30/10/2019</v>
      </c>
      <c r="E24" s="0" t="str">
        <f aca="false">IFERROR(__xludf.dummyfunction("""COMPUTED_VALUE"""),"No se encontraron evidencias que soporten la acción,hubo cambio de líder del área ambulatoria")</f>
        <v>No se encontraron evidencias que soporten la acción,hubo cambio de líder del área ambulatoria</v>
      </c>
      <c r="F24" s="0" t="str">
        <f aca="false">IFERROR(__xludf.dummyfunction("""COMPUTED_VALUE"""),"Atrasado")</f>
        <v>Atrasado</v>
      </c>
    </row>
    <row r="25" customFormat="false" ht="14.25" hidden="false" customHeight="false" outlineLevel="0" collapsed="false">
      <c r="A25" s="18" t="str">
        <f aca="false">IFERROR(MID(D25,1,FIND("|",D25)-1)&amp;"-"&amp;C25,"")</f>
        <v>AICI201903-3-1-3</v>
      </c>
      <c r="B25" s="19" t="n">
        <f aca="false">IFERROR(__xludf.dummyfunction("""COMPUTED_VALUE"""),44375)</f>
        <v>44375</v>
      </c>
      <c r="C25" s="0" t="n">
        <f aca="false">IFERROR(__xludf.dummyfunction("""COMPUTED_VALUE"""),3)</f>
        <v>3</v>
      </c>
      <c r="D25" s="0" t="str">
        <f aca="false">IFERROR(__xludf.dummyfunction("""COMPUTED_VALUE"""),"AICI201903-3-1| Verificacion y aplicacion Instructivo seguimiento Demanda Oferta de los servicios con alta Demanda - 30/11/2019")</f>
        <v>AICI201903-3-1| Verificacion y aplicacion Instructivo seguimiento Demanda Oferta de los servicios con alta Demanda - 30/11/2019</v>
      </c>
      <c r="E25" s="0" t="str">
        <f aca="false">IFERROR(__xludf.dummyfunction("""COMPUTED_VALUE"""),"Se cuenta con el formato de demanda insatisfecha con código :ES-PA-F-10-01 versión 1")</f>
        <v>Se cuenta con el formato de demanda insatisfecha con código :ES-PA-F-10-01 versión 1</v>
      </c>
      <c r="F25" s="0" t="str">
        <f aca="false">IFERROR(__xludf.dummyfunction("""COMPUTED_VALUE"""),"Completo")</f>
        <v>Completo</v>
      </c>
      <c r="G25" s="20" t="str">
        <f aca="false">IFERROR(__xludf.dummyfunction("""COMPUTED_VALUE"""),"https://drive.google.com/open?id=1ME1pV43m7Z35vnPZwS8Er3i2wI0juOiq")</f>
        <v>https://drive.google.com/open?id=1ME1pV43m7Z35vnPZwS8Er3i2wI0juOiq</v>
      </c>
    </row>
    <row r="26" customFormat="false" ht="14.25" hidden="false" customHeight="false" outlineLevel="0" collapsed="false">
      <c r="A26" s="18" t="str">
        <f aca="false">IFERROR(MID(D26,1,FIND("|",D26)-1)&amp;"-"&amp;C26,"")</f>
        <v>AICI201903-6-1-3</v>
      </c>
      <c r="B26" s="19" t="n">
        <f aca="false">IFERROR(__xludf.dummyfunction("""COMPUTED_VALUE"""),44375)</f>
        <v>44375</v>
      </c>
      <c r="C26" s="0" t="n">
        <f aca="false">IFERROR(__xludf.dummyfunction("""COMPUTED_VALUE"""),3)</f>
        <v>3</v>
      </c>
      <c r="D26" s="0" t="str">
        <f aca="false">IFERROR(__xludf.dummyfunction("""COMPUTED_VALUE"""),"AICI201903-6-1| Unificar el instrumento de medicion de cupos sin vender entre la direccion de ambulatorios y Desarrollo institucional. - 30/10/2019")</f>
        <v>AICI201903-6-1| Unificar el instrumento de medicion de cupos sin vender entre la direccion de ambulatorios y Desarrollo institucional. - 30/10/2019</v>
      </c>
      <c r="E26" s="0" t="str">
        <f aca="false">IFERROR(__xludf.dummyfunction("""COMPUTED_VALUE"""),"Para el cuarto trimestre de 2019 se evidencia una efectividad de las agendas para las especialidades básicas tuvo un incremento del 74% al 83%.  Con relación a la población adscrita, esta actividad se realiza con articulación del riesgo.")</f>
        <v>Para el cuarto trimestre de 2019 se evidencia una efectividad de las agendas para las especialidades básicas tuvo un incremento del 74% al 83%.  Con relación a la población adscrita, esta actividad se realiza con articulación del riesgo.</v>
      </c>
      <c r="F26" s="0" t="str">
        <f aca="false">IFERROR(__xludf.dummyfunction("""COMPUTED_VALUE"""),"Completo")</f>
        <v>Completo</v>
      </c>
      <c r="G26" s="0" t="str">
        <f aca="false">IFERROR(__xludf.dummyfunction("""COMPUTED_VALUE"""),"https://drive.google.com/open?id=1I5jx7-2RFDwnrbd-M5G_fsqlI7DslRKn, https://drive.google.com/open?id=1CjWTV5hZL_q4skVDfArIof8vpPPGaoQs")</f>
        <v>https://drive.google.com/open?id=1I5jx7-2RFDwnrbd-M5G_fsqlI7DslRKn, https://drive.google.com/open?id=1CjWTV5hZL_q4skVDfArIof8vpPPGaoQs</v>
      </c>
    </row>
    <row r="27" customFormat="false" ht="14.25" hidden="false" customHeight="false" outlineLevel="0" collapsed="false">
      <c r="A27" s="18" t="str">
        <f aca="false">IFERROR(MID(D27,1,FIND("|",D27)-1)&amp;"-"&amp;C27,"")</f>
        <v>AICI201903-10-1-3</v>
      </c>
      <c r="B27" s="19" t="n">
        <f aca="false">IFERROR(__xludf.dummyfunction("""COMPUTED_VALUE"""),44375)</f>
        <v>44375</v>
      </c>
      <c r="C27" s="0" t="n">
        <f aca="false">IFERROR(__xludf.dummyfunction("""COMPUTED_VALUE"""),3)</f>
        <v>3</v>
      </c>
      <c r="D27" s="0" t="str">
        <f aca="false">IFERROR(__xludf.dummyfunction("""COMPUTED_VALUE"""),"AICI201903-10-1| Incremento de Horas de Recuirso Humano en las especialidades con mayor numero de demanda insatisfecha - 30/11/2019")</f>
        <v>AICI201903-10-1| Incremento de Horas de Recuirso Humano en las especialidades con mayor numero de demanda insatisfecha - 30/11/2019</v>
      </c>
      <c r="E27" s="0" t="str">
        <f aca="false">IFERROR(__xludf.dummyfunction("""COMPUTED_VALUE"""),"De acuerdo al registro de la demanda insatisfecha,  en el año 2019,  se aumentaron cupos durante el año en servicios como gastroenterología, dermatología, ortopedia pediátrica y urología adulto, con el fin de cumplir con las necesidades de los usuarios")</f>
        <v>De acuerdo al registro de la demanda insatisfecha,  en el año 2019,  se aumentaron cupos durante el año en servicios como gastroenterología, dermatología, ortopedia pediátrica y urología adulto, con el fin de cumplir con las necesidades de los usuarios</v>
      </c>
      <c r="F27" s="0" t="str">
        <f aca="false">IFERROR(__xludf.dummyfunction("""COMPUTED_VALUE"""),"Completo")</f>
        <v>Completo</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sheetData>
  <hyperlinks>
    <hyperlink ref="G4" r:id="rId1" display="https://drive.google.com/open?id=1ei4y7LA4F4osxNiEc2mH0TZtS9aK5rlm"/>
    <hyperlink ref="G5" r:id="rId2" display="https://drive.google.com/open?id=1cG9SFwg5RfKqCxk9iz3vj_POtzbvuVPU"/>
    <hyperlink ref="G6" r:id="rId3" display="https://drive.google.com/open?id=1FsNvNsWZAX0Hpxk-K6oyi-pwaj03xmFf"/>
    <hyperlink ref="G7" r:id="rId4" display="https://drive.google.com/open?id=17hWeHsilNJdy41AuZDRu1YNj21FRVIsg"/>
    <hyperlink ref="G8" r:id="rId5" display="https://drive.google.com/open?id=1zgA5DSVYIqVgYI-Czwl9SQRBnHdkYSru"/>
    <hyperlink ref="G9" r:id="rId6" display="https://drive.google.com/open?id=1nNTbTnk365PjYZ82usaT7Qq8r8RARqPY"/>
    <hyperlink ref="G11" r:id="rId7" display="https://drive.google.com/open?id=1_KTKzl9Mx_Dn9OawptJToG7_0L4G3Zgl"/>
    <hyperlink ref="G15" r:id="rId8" display="https://drive.google.com/open?id=1vacmO5CV8Eu8Ww-sFcI5M-Eta4IcX9iF"/>
    <hyperlink ref="G16" r:id="rId9" display="https://drive.google.com/open?id=1YCx9dbWvoewSFwuFpKpfCsa7eoQpYsgO"/>
    <hyperlink ref="G19" r:id="rId10" display="https://drive.google.com/open?id=1fbJmdMBtve8uMbHLEodw1dcHEfRgF3FJ"/>
    <hyperlink ref="G20" r:id="rId11" display="https://drive.google.com/open?id=1gmrZ0dGU1G7HXpr2lX7g9ublWKUa-_fe"/>
    <hyperlink ref="G21" r:id="rId12" display="https://drive.google.com/open?id=1JJCitjkANlPpne-ZPaH41BrGWVHegwYx"/>
    <hyperlink ref="G22" r:id="rId13" display="https://drive.google.com/open?id=1-iE7qBNggZNbD9Fd4FBZ1SLJnSEedE1T"/>
    <hyperlink ref="G25" r:id="rId14" display="https://drive.google.com/open?id=1ME1pV43m7Z35vnPZwS8Er3i2wI0juOiq"/>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43.42"/>
  </cols>
  <sheetData>
    <row r="1" customFormat="false" ht="12.75" hidden="false" customHeight="false" outlineLevel="0" collapsed="false">
      <c r="A1" s="13" t="s">
        <v>1845</v>
      </c>
      <c r="B1" s="13" t="s">
        <v>1838</v>
      </c>
      <c r="C1" s="13" t="s">
        <v>1839</v>
      </c>
      <c r="D1" s="13" t="s">
        <v>1840</v>
      </c>
      <c r="E1" s="13" t="s">
        <v>1841</v>
      </c>
      <c r="F1" s="13" t="s">
        <v>1842</v>
      </c>
      <c r="G1" s="13" t="s">
        <v>1843</v>
      </c>
    </row>
    <row r="2" customFormat="false" ht="10.5" hidden="false" customHeight="true" outlineLevel="0" collapsed="false">
      <c r="A2" s="17"/>
      <c r="B2" s="17"/>
      <c r="C2" s="17"/>
      <c r="D2" s="17"/>
      <c r="E2" s="17"/>
      <c r="F2" s="17"/>
      <c r="G2" s="17"/>
    </row>
    <row r="3" customFormat="false" ht="12.75" hidden="false" customHeight="false" outlineLevel="0" collapsed="false">
      <c r="A3" s="13" t="s">
        <v>1836</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AICI201904-2-1-1</v>
      </c>
      <c r="B4" s="19" t="n">
        <f aca="false">IFERROR(__xludf.dummyfunction("""COMPUTED_VALUE"""),43852)</f>
        <v>43852</v>
      </c>
      <c r="C4" s="0" t="n">
        <f aca="false">IFERROR(__xludf.dummyfunction("""COMPUTED_VALUE"""),1)</f>
        <v>1</v>
      </c>
      <c r="D4" s="0" t="str">
        <f aca="false">IFERROR(__xludf.dummyfunction("""COMPUTED_VALUE"""),"AICI201904-2-1| Inclusión del riesgo de falta de contratación completa del recurso humano y físico, propuesto en el programa de atención domiciliaria para el cumplimiento de las metas del POA en el mapa de riesgos. - 18/11/2019")</f>
        <v>AICI201904-2-1| Inclusión del riesgo de falta de contratación completa del recurso humano y físico, propuesto en el programa de atención domiciliaria para el cumplimiento de las metas del POA en el mapa de riesgos. - 18/11/2019</v>
      </c>
      <c r="E4" s="0" t="str">
        <f aca="false">IFERROR(__xludf.dummyfunction("""COMPUTED_VALUE"""),"Se adiciona el riesgo 3 al mapa de riesgo ""Falta de la completitud en la contratación de recurso físico y humano necesario para realizar las actividades las actividades propuestas""")</f>
        <v>Se adiciona el riesgo 3 al mapa de riesgo "Falta de la completitud en la contratación de recurso físico y humano necesario para realizar las actividades las actividades propuestas"</v>
      </c>
      <c r="F4" s="0" t="str">
        <f aca="false">IFERROR(__xludf.dummyfunction("""COMPUTED_VALUE"""),"Completo")</f>
        <v>Completo</v>
      </c>
      <c r="G4" s="20" t="str">
        <f aca="false">IFERROR(__xludf.dummyfunction("""COMPUTED_VALUE"""),"https://drive.google.com/open?id=1USnTnSXwyTzDQrhg5RpygU-GiFhgGC4z")</f>
        <v>https://drive.google.com/open?id=1USnTnSXwyTzDQrhg5RpygU-GiFhgGC4z</v>
      </c>
    </row>
    <row r="5" customFormat="false" ht="14.25" hidden="false" customHeight="false" outlineLevel="0" collapsed="false">
      <c r="A5" s="18" t="str">
        <f aca="false">IFERROR(MID(D5,1,FIND("|",D5)-1)&amp;"-"&amp;C5,"")</f>
        <v>AICI201904-3-1-1</v>
      </c>
      <c r="B5" s="19" t="n">
        <f aca="false">IFERROR(__xludf.dummyfunction("""COMPUTED_VALUE"""),43852)</f>
        <v>43852</v>
      </c>
      <c r="C5" s="0" t="n">
        <f aca="false">IFERROR(__xludf.dummyfunction("""COMPUTED_VALUE"""),1)</f>
        <v>1</v>
      </c>
      <c r="D5" s="0" t="str">
        <f aca="false">IFERROR(__xludf.dummyfunction("""COMPUTED_VALUE"""),"AICI201904-3-1| Revisión previo de todos los informes para que la información este unificada y no se presenten incongruencias, se levantará acta de cada revisión. - 18/11/2019")</f>
        <v>AICI201904-3-1| Revisión previo de todos los informes para que la información este unificada y no se presenten incongruencias, se levantará acta de cada revisión. - 18/11/2019</v>
      </c>
      <c r="E5" s="0" t="str">
        <f aca="false">IFERROR(__xludf.dummyfunction("""COMPUTED_VALUE"""),"Se evidencian actas de revisión estadística de los meses de Noviembre y Diciembre previo al envío del informe de producción para Dirección y convenios")</f>
        <v>Se evidencian actas de revisión estadística de los meses de Noviembre y Diciembre previo al envío del informe de producción para Dirección y convenios</v>
      </c>
      <c r="F5" s="0" t="str">
        <f aca="false">IFERROR(__xludf.dummyfunction("""COMPUTED_VALUE"""),"Completo")</f>
        <v>Completo</v>
      </c>
      <c r="G5" s="0" t="str">
        <f aca="false">IFERROR(__xludf.dummyfunction("""COMPUTED_VALUE"""),"https://drive.google.com/open?id=1h30cUCOwQfRqaIfvIZSLUjVzkqyKOjIL, https://drive.google.com/open?id=13SvzgMthL4I1HcnwmIigeAjIVz486nmT")</f>
        <v>https://drive.google.com/open?id=1h30cUCOwQfRqaIfvIZSLUjVzkqyKOjIL, https://drive.google.com/open?id=13SvzgMthL4I1HcnwmIigeAjIVz486nmT</v>
      </c>
    </row>
    <row r="6" customFormat="false" ht="14.25" hidden="false" customHeight="false" outlineLevel="0" collapsed="false">
      <c r="A6" s="18" t="str">
        <f aca="false">IFERROR(MID(D6,1,FIND("|",D6)-1)&amp;"-"&amp;C6,"")</f>
        <v>AICI201904-1-1-1</v>
      </c>
      <c r="B6" s="19" t="n">
        <f aca="false">IFERROR(__xludf.dummyfunction("""COMPUTED_VALUE"""),43852)</f>
        <v>43852</v>
      </c>
      <c r="C6" s="0" t="n">
        <f aca="false">IFERROR(__xludf.dummyfunction("""COMPUTED_VALUE"""),1)</f>
        <v>1</v>
      </c>
      <c r="D6" s="0" t="str">
        <f aca="false">IFERROR(__xludf.dummyfunction("""COMPUTED_VALUE"""),"AICI201904-1-1| Aplicación de formato MI-SC-F-81-03 Atención domiciliaria lista de chequeo, al 10%de los pacientes ingresados en la modalidad de extensión hospitalaria y alta temprana - 28/11/2019")</f>
        <v>AICI201904-1-1| Aplicación de formato MI-SC-F-81-03 Atención domiciliaria lista de chequeo, al 10%de los pacientes ingresados en la modalidad de extensión hospitalaria y alta temprana - 28/11/2019</v>
      </c>
      <c r="E6" s="0" t="str">
        <f aca="false">IFERROR(__xludf.dummyfunction("""COMPUTED_VALUE"""),"Se observa aplicación de lista de chequeo a personal de enfermería ,durante los meses de Noviembre y Diciembre 2019")</f>
        <v>Se observa aplicación de lista de chequeo a personal de enfermería ,durante los meses de Noviembre y Diciembre 2019</v>
      </c>
      <c r="F6" s="0" t="str">
        <f aca="false">IFERROR(__xludf.dummyfunction("""COMPUTED_VALUE"""),"Completo")</f>
        <v>Completo</v>
      </c>
      <c r="G6" s="20" t="str">
        <f aca="false">IFERROR(__xludf.dummyfunction("""COMPUTED_VALUE"""),"https://drive.google.com/open?id=14WxVTYmyumBToZH3GQ2JXc4HrtsgMODP")</f>
        <v>https://drive.google.com/open?id=14WxVTYmyumBToZH3GQ2JXc4HrtsgMODP</v>
      </c>
    </row>
    <row r="7" customFormat="false" ht="14.25" hidden="false" customHeight="false" outlineLevel="0" collapsed="false">
      <c r="A7" s="18" t="str">
        <f aca="false">IFERROR(MID(D7,1,FIND("|",D7)-1)&amp;"-"&amp;C7,"")</f>
        <v>AICI201904-4-1-1</v>
      </c>
      <c r="B7" s="19" t="n">
        <f aca="false">IFERROR(__xludf.dummyfunction("""COMPUTED_VALUE"""),43852)</f>
        <v>43852</v>
      </c>
      <c r="C7" s="0" t="n">
        <f aca="false">IFERROR(__xludf.dummyfunction("""COMPUTED_VALUE"""),1)</f>
        <v>1</v>
      </c>
      <c r="D7" s="0" t="str">
        <f aca="false">IFERROR(__xludf.dummyfunction("""COMPUTED_VALUE"""),"AICI201904-4-1| Revisión y ajuste de matriz de acuerdo pérfiles requeridos para la propuesta al nuevo convenio. - 18/11/2019")</f>
        <v>AICI201904-4-1| Revisión y ajuste de matriz de acuerdo pérfiles requeridos para la propuesta al nuevo convenio. - 18/11/2019</v>
      </c>
      <c r="E7" s="0" t="str">
        <f aca="false">IFERROR(__xludf.dummyfunction("""COMPUTED_VALUE"""),"Se evidencia propuesta para nuevo convenio y acta de inicio del nuevo convenio 0842 de 2019,se incorpora la terapeuta de lenguaje")</f>
        <v>Se evidencia propuesta para nuevo convenio y acta de inicio del nuevo convenio 0842 de 2019,se incorpora la terapeuta de lenguaje</v>
      </c>
      <c r="F7" s="0" t="str">
        <f aca="false">IFERROR(__xludf.dummyfunction("""COMPUTED_VALUE"""),"Completo")</f>
        <v>Completo</v>
      </c>
      <c r="G7" s="0" t="str">
        <f aca="false">IFERROR(__xludf.dummyfunction("""COMPUTED_VALUE"""),"https://drive.google.com/open?id=1cI7htJ1PHNwTaDYFk9PCZU1wE-v8iRTh, https://drive.google.com/open?id=1ok3fMC9AwNgFsDI_FD0vqIgukHBpENyy")</f>
        <v>https://drive.google.com/open?id=1cI7htJ1PHNwTaDYFk9PCZU1wE-v8iRTh, https://drive.google.com/open?id=1ok3fMC9AwNgFsDI_FD0vqIgukHBpENyy</v>
      </c>
    </row>
    <row r="8" customFormat="false" ht="14.25" hidden="false" customHeight="false" outlineLevel="0" collapsed="false">
      <c r="A8" s="18" t="str">
        <f aca="false">IFERROR(MID(D8,1,FIND("|",D8)-1)&amp;"-"&amp;C8,"")</f>
        <v>AICI201904-5-1-1</v>
      </c>
      <c r="B8" s="19" t="n">
        <f aca="false">IFERROR(__xludf.dummyfunction("""COMPUTED_VALUE"""),43852)</f>
        <v>43852</v>
      </c>
      <c r="C8" s="0" t="n">
        <f aca="false">IFERROR(__xludf.dummyfunction("""COMPUTED_VALUE"""),1)</f>
        <v>1</v>
      </c>
      <c r="D8" s="0" t="str">
        <f aca="false">IFERROR(__xludf.dummyfunction("""COMPUTED_VALUE"""),"AICI201904-5-1| 1.Capacitación en el adecuado diligenciamiento de historias clinicas 2. Soportes de corrección de formatos con fallas y envío a calidad para la normalización de estos - 20/11/2019")</f>
        <v>AICI201904-5-1| 1.Capacitación en el adecuado diligenciamiento de historias clinicas 2. Soportes de corrección de formatos con fallas y envío a calidad para la normalización de estos - 20/11/2019</v>
      </c>
      <c r="E8" s="0" t="str">
        <f aca="false">IFERROR(__xludf.dummyfunction("""COMPUTED_VALUE"""),"Se observa acta y listado de capacitación sobre los registros de Historia Clínica y formatos corregidos con cambios de versión,e inclusión de fechas con correo a Calidad con fecha Octubre 21 de 2019 para su normalización ")</f>
        <v>Se observa acta y listado de capacitación sobre los registros de Historia Clínica y formatos corregidos con cambios de versión,e inclusión de fechas con correo a Calidad con fecha Octubre 21 de 2019 para su normalización </v>
      </c>
      <c r="F8" s="0" t="str">
        <f aca="false">IFERROR(__xludf.dummyfunction("""COMPUTED_VALUE"""),"Completo")</f>
        <v>Completo</v>
      </c>
      <c r="G8" s="20" t="str">
        <f aca="false">IFERROR(__xludf.dummyfunction("""COMPUTED_VALUE"""),"https://drive.google.com/open?id=1h_F3c8Pvmrlf5K3eAqqP06168Z8Nd0cP")</f>
        <v>https://drive.google.com/open?id=1h_F3c8Pvmrlf5K3eAqqP06168Z8Nd0cP</v>
      </c>
    </row>
    <row r="9" customFormat="false" ht="14.25" hidden="false" customHeight="false" outlineLevel="0" collapsed="false">
      <c r="A9" s="18" t="str">
        <f aca="false">IFERROR(MID(D9,1,FIND("|",D9)-1)&amp;"-"&amp;C9,"")</f>
        <v>AICI201904-6-1-1</v>
      </c>
      <c r="B9" s="19" t="n">
        <f aca="false">IFERROR(__xludf.dummyfunction("""COMPUTED_VALUE"""),43852)</f>
        <v>43852</v>
      </c>
      <c r="C9" s="0" t="n">
        <f aca="false">IFERROR(__xludf.dummyfunction("""COMPUTED_VALUE"""),1)</f>
        <v>1</v>
      </c>
      <c r="D9" s="0" t="str">
        <f aca="false">IFERROR(__xludf.dummyfunction("""COMPUTED_VALUE"""),"AICI201904-6-1| Capacitacion a personal del PAD en lavado de manos, y protocolo de cuidado de enfermería para la inserción , mantenimiento y retiro de acceso venoso - 20/11/2019")</f>
        <v>AICI201904-6-1| Capacitacion a personal del PAD en lavado de manos, y protocolo de cuidado de enfermería para la inserción , mantenimiento y retiro de acceso venoso - 20/11/2019</v>
      </c>
      <c r="E9" s="0" t="str">
        <f aca="false">IFERROR(__xludf.dummyfunction("""COMPUTED_VALUE"""),"Se anexan listados de capacitación en lavado de manos y en manejo de cateteres venosos")</f>
        <v>Se anexan listados de capacitación en lavado de manos y en manejo de cateteres venosos</v>
      </c>
      <c r="F9" s="0" t="str">
        <f aca="false">IFERROR(__xludf.dummyfunction("""COMPUTED_VALUE"""),"Completo")</f>
        <v>Completo</v>
      </c>
      <c r="G9" s="0" t="str">
        <f aca="false">IFERROR(__xludf.dummyfunction("""COMPUTED_VALUE"""),"https://drive.google.com/open?id=1N3AMq1d-WaC3eZ5nNslX0WyHuEdjFfqw, https://drive.google.com/open?id=1qBUeKq8DpP4smOzwf_rs1Cu8yEhVSzC6, https://drive.google.com/open?id=1SIIHHZ1G3s_NrEMDXkV2HZbfzysdv7wh")</f>
        <v>https://drive.google.com/open?id=1N3AMq1d-WaC3eZ5nNslX0WyHuEdjFfqw, https://drive.google.com/open?id=1qBUeKq8DpP4smOzwf_rs1Cu8yEhVSzC6, https://drive.google.com/open?id=1SIIHHZ1G3s_NrEMDXkV2HZbfzysdv7wh</v>
      </c>
    </row>
    <row r="10" customFormat="false" ht="14.25" hidden="false" customHeight="false" outlineLevel="0" collapsed="false">
      <c r="A10" s="18" t="str">
        <f aca="false">IFERROR(MID(D10,1,FIND("|",D10)-1)&amp;"-"&amp;C10,"")</f>
        <v>AICI201904-7-1-1</v>
      </c>
      <c r="B10" s="19" t="n">
        <f aca="false">IFERROR(__xludf.dummyfunction("""COMPUTED_VALUE"""),43852)</f>
        <v>43852</v>
      </c>
      <c r="C10" s="0" t="n">
        <f aca="false">IFERROR(__xludf.dummyfunction("""COMPUTED_VALUE"""),1)</f>
        <v>1</v>
      </c>
      <c r="D10" s="0" t="str">
        <f aca="false">IFERROR(__xludf.dummyfunction("""COMPUTED_VALUE"""),"AICI201904-7-1| Solicitud escrita a referente del módulo Clinical Suite plantilla para la respuesta de interconsultas por parte de enfermería - 20/11/2019")</f>
        <v>AICI201904-7-1| Solicitud escrita a referente del módulo Clinical Suite plantilla para la respuesta de interconsultas por parte de enfermería - 20/11/2019</v>
      </c>
      <c r="E10" s="0" t="str">
        <f aca="false">IFERROR(__xludf.dummyfunction("""COMPUTED_VALUE"""),"Se evidencia acta de reunión con  lider de Clinical Suite para tratar el cambio de perfil de enfermeras para responder interconsultas con fecha de 14 de agosto de 2019,pendiente respuesta escrita del ingeniero Coral")</f>
        <v>Se evidencia acta de reunión con  lider de Clinical Suite para tratar el cambio de perfil de enfermeras para responder interconsultas con fecha de 14 de agosto de 2019,pendiente respuesta escrita del ingeniero Coral</v>
      </c>
      <c r="F10" s="0" t="str">
        <f aca="false">IFERROR(__xludf.dummyfunction("""COMPUTED_VALUE"""),"En desarrollo")</f>
        <v>En desarrollo</v>
      </c>
      <c r="G10" s="20" t="str">
        <f aca="false">IFERROR(__xludf.dummyfunction("""COMPUTED_VALUE"""),"https://drive.google.com/open?id=1OMC-nD-X6i5xs208EcoeGYkCuG8pE1Sw")</f>
        <v>https://drive.google.com/open?id=1OMC-nD-X6i5xs208EcoeGYkCuG8pE1Sw</v>
      </c>
    </row>
    <row r="11" customFormat="false" ht="14.25" hidden="false" customHeight="false" outlineLevel="0" collapsed="false">
      <c r="A11" s="18" t="str">
        <f aca="false">IFERROR(MID(D11,1,FIND("|",D11)-1)&amp;"-"&amp;C11,"")</f>
        <v>AICI201904-8-1-1</v>
      </c>
      <c r="B11" s="19" t="n">
        <f aca="false">IFERROR(__xludf.dummyfunction("""COMPUTED_VALUE"""),43852)</f>
        <v>43852</v>
      </c>
      <c r="C11" s="0" t="n">
        <f aca="false">IFERROR(__xludf.dummyfunction("""COMPUTED_VALUE"""),1)</f>
        <v>1</v>
      </c>
      <c r="D11" s="0" t="str">
        <f aca="false">IFERROR(__xludf.dummyfunction("""COMPUTED_VALUE"""),"AICI201904-8-1| Revisión y Corrección tabla de producción en la asignación de actividades. - 19/11/2019")</f>
        <v>AICI201904-8-1| Revisión y Corrección tabla de producción en la asignación de actividades. - 19/11/2019</v>
      </c>
      <c r="E11" s="0" t="str">
        <f aca="false">IFERROR(__xludf.dummyfunction("""COMPUTED_VALUE"""),"Se anexa tabla de producción corregida")</f>
        <v>Se anexa tabla de producción corregida</v>
      </c>
      <c r="F11" s="0" t="str">
        <f aca="false">IFERROR(__xludf.dummyfunction("""COMPUTED_VALUE"""),"Completo")</f>
        <v>Completo</v>
      </c>
      <c r="G11" s="20" t="str">
        <f aca="false">IFERROR(__xludf.dummyfunction("""COMPUTED_VALUE"""),"https://drive.google.com/open?id=1x6CPdrm193aQXWsJjBLNuuxoS7_-oiMF")</f>
        <v>https://drive.google.com/open?id=1x6CPdrm193aQXWsJjBLNuuxoS7_-oiMF</v>
      </c>
    </row>
    <row r="12" customFormat="false" ht="14.25" hidden="false" customHeight="false" outlineLevel="0" collapsed="false">
      <c r="A12" s="18" t="str">
        <f aca="false">IFERROR(MID(D12,1,FIND("|",D12)-1)&amp;"-"&amp;C12,"")</f>
        <v>AICI201904-9-1-1</v>
      </c>
      <c r="B12" s="19" t="n">
        <f aca="false">IFERROR(__xludf.dummyfunction("""COMPUTED_VALUE"""),43852)</f>
        <v>43852</v>
      </c>
      <c r="C12" s="0" t="n">
        <f aca="false">IFERROR(__xludf.dummyfunction("""COMPUTED_VALUE"""),1)</f>
        <v>1</v>
      </c>
      <c r="D12" s="0" t="str">
        <f aca="false">IFERROR(__xludf.dummyfunction("""COMPUTED_VALUE"""),"AICI201904-9-1| Solicitud escrita a referente del módulo Clinical Suite y facturación de trámites necesarios para dar continuidad en el diligenciamiento de HC electrónica. - 20/11/2019")</f>
        <v>AICI201904-9-1| Solicitud escrita a referente del módulo Clinical Suite y facturación de trámites necesarios para dar continuidad en el diligenciamiento de HC electrónica. - 20/11/2019</v>
      </c>
      <c r="E12" s="0" t="str">
        <f aca="false">IFERROR(__xludf.dummyfunction("""COMPUTED_VALUE"""),"Se observa acta del 14 de agosto con facturación y sistemas para tratar el tema de H. Cl. electrónica,se instaló el aplicativo de H. Clinicas pero falta el módem,el cual se solicitó en el nuevo contrato")</f>
        <v>Se observa acta del 14 de agosto con facturación y sistemas para tratar el tema de H. Cl. electrónica,se instaló el aplicativo de H. Clinicas pero falta el módem,el cual se solicitó en el nuevo contrato</v>
      </c>
      <c r="F12" s="0" t="str">
        <f aca="false">IFERROR(__xludf.dummyfunction("""COMPUTED_VALUE"""),"En desarrollo")</f>
        <v>En desarrollo</v>
      </c>
      <c r="G12" s="0" t="str">
        <f aca="false">IFERROR(__xludf.dummyfunction("""COMPUTED_VALUE"""),"https://drive.google.com/open?id=1pb4bSTa03jrqgbMg7pAEVQhOQQPZa3J8, https://drive.google.com/open?id=13QgWNKO1i37A22uaV9TIKFi3AdMdZEVp")</f>
        <v>https://drive.google.com/open?id=1pb4bSTa03jrqgbMg7pAEVQhOQQPZa3J8, https://drive.google.com/open?id=13QgWNKO1i37A22uaV9TIKFi3AdMdZEVp</v>
      </c>
    </row>
    <row r="13" customFormat="false" ht="14.25" hidden="false" customHeight="false" outlineLevel="0" collapsed="false">
      <c r="A13" s="18" t="str">
        <f aca="false">IFERROR(MID(D13,1,FIND("|",D13)-1)&amp;"-"&amp;C13,"")</f>
        <v>AICI201904-7-1-2</v>
      </c>
      <c r="B13" s="19" t="n">
        <f aca="false">IFERROR(__xludf.dummyfunction("""COMPUTED_VALUE"""),43916)</f>
        <v>43916</v>
      </c>
      <c r="C13" s="0" t="n">
        <f aca="false">IFERROR(__xludf.dummyfunction("""COMPUTED_VALUE"""),2)</f>
        <v>2</v>
      </c>
      <c r="D13" s="0" t="str">
        <f aca="false">IFERROR(__xludf.dummyfunction("""COMPUTED_VALUE"""),"AICI201904-7-1| Solicitud escrita a referente del módulo Clinical Suite plantilla para la respuesta de interconsultas por parte de enfermería - 20/11/2019")</f>
        <v>AICI201904-7-1| Solicitud escrita a referente del módulo Clinical Suite plantilla para la respuesta de interconsultas por parte de enfermería - 20/11/2019</v>
      </c>
      <c r="E13" s="0" t="str">
        <f aca="false">IFERROR(__xludf.dummyfunction("""COMPUTED_VALUE"""),"Se configura interconsulta por otras especialidades en la Historia Clinica pendiente las pruebas de fincionalidad")</f>
        <v>Se configura interconsulta por otras especialidades en la Historia Clinica pendiente las pruebas de fincionalidad</v>
      </c>
      <c r="F13" s="0" t="str">
        <f aca="false">IFERROR(__xludf.dummyfunction("""COMPUTED_VALUE"""),"En desarrollo")</f>
        <v>En desarrollo</v>
      </c>
    </row>
    <row r="14" customFormat="false" ht="14.25" hidden="false" customHeight="false" outlineLevel="0" collapsed="false">
      <c r="A14" s="18" t="str">
        <f aca="false">IFERROR(MID(D14,1,FIND("|",D14)-1)&amp;"-"&amp;C14,"")</f>
        <v>AICI201904-9-1-2</v>
      </c>
      <c r="B14" s="19" t="n">
        <f aca="false">IFERROR(__xludf.dummyfunction("""COMPUTED_VALUE"""),43916)</f>
        <v>43916</v>
      </c>
      <c r="C14" s="0" t="n">
        <f aca="false">IFERROR(__xludf.dummyfunction("""COMPUTED_VALUE"""),2)</f>
        <v>2</v>
      </c>
      <c r="D14" s="0" t="str">
        <f aca="false">IFERROR(__xludf.dummyfunction("""COMPUTED_VALUE"""),"AICI201904-9-1| Solicitud escrita a referente del módulo Clinical Suite y facturación de trámites necesarios para dar continuidad en el diligenciamiento de HC electrónica. - 20/11/2019")</f>
        <v>AICI201904-9-1| Solicitud escrita a referente del módulo Clinical Suite y facturación de trámites necesarios para dar continuidad en el diligenciamiento de HC electrónica. - 20/11/2019</v>
      </c>
      <c r="E14" s="0" t="str">
        <f aca="false">IFERROR(__xludf.dummyfunction("""COMPUTED_VALUE"""),"Se solicitó aumento en el plan de datos o un modem")</f>
        <v>Se solicitó aumento en el plan de datos o un modem</v>
      </c>
      <c r="F14" s="0" t="str">
        <f aca="false">IFERROR(__xludf.dummyfunction("""COMPUTED_VALUE"""),"En desarrollo")</f>
        <v>En desarrollo</v>
      </c>
    </row>
    <row r="15" customFormat="false" ht="14.25" hidden="false" customHeight="false" outlineLevel="0" collapsed="false">
      <c r="A15" s="18" t="str">
        <f aca="false">IFERROR(MID(D15,1,FIND("|",D15)-1)&amp;"-"&amp;C15,"")</f>
        <v>AICI201904-7-1-3</v>
      </c>
      <c r="B15" s="19" t="n">
        <f aca="false">IFERROR(__xludf.dummyfunction("""COMPUTED_VALUE"""),44048)</f>
        <v>44048</v>
      </c>
      <c r="C15" s="0" t="n">
        <f aca="false">IFERROR(__xludf.dummyfunction("""COMPUTED_VALUE"""),3)</f>
        <v>3</v>
      </c>
      <c r="D15" s="0" t="str">
        <f aca="false">IFERROR(__xludf.dummyfunction("""COMPUTED_VALUE"""),"AICI201904-7-1| Solicitud escrita a referente del módulo Clinical Suite plantilla para la respuesta de interconsultas por parte de enfermería - 20/11/2019")</f>
        <v>AICI201904-7-1| Solicitud escrita a referente del módulo Clinical Suite plantilla para la respuesta de interconsultas por parte de enfermería - 20/11/2019</v>
      </c>
      <c r="E15" s="0" t="str">
        <f aca="false">IFERROR(__xludf.dummyfunction("""COMPUTED_VALUE"""),"Se incluyó en la Historia Clínica la modalidad de interconsultas por otras especialidades,la cual está funcionando adecuadamente")</f>
        <v>Se incluyó en la Historia Clínica la modalidad de interconsultas por otras especialidades,la cual está funcionando adecuadamente</v>
      </c>
      <c r="F15" s="0" t="str">
        <f aca="false">IFERROR(__xludf.dummyfunction("""COMPUTED_VALUE"""),"Completo")</f>
        <v>Completo</v>
      </c>
      <c r="G15" s="20" t="str">
        <f aca="false">IFERROR(__xludf.dummyfunction("""COMPUTED_VALUE"""),"https://drive.google.com/open?id=1-9BzY0f5wOTGzdJRQvOrAzIlgPHqqcPy")</f>
        <v>https://drive.google.com/open?id=1-9BzY0f5wOTGzdJRQvOrAzIlgPHqqcPy</v>
      </c>
    </row>
    <row r="16" customFormat="false" ht="14.25" hidden="false" customHeight="false" outlineLevel="0" collapsed="false">
      <c r="A16" s="18" t="str">
        <f aca="false">IFERROR(MID(D16,1,FIND("|",D16)-1)&amp;"-"&amp;C16,"")</f>
        <v>AICI201904-9-1-3</v>
      </c>
      <c r="B16" s="19" t="n">
        <f aca="false">IFERROR(__xludf.dummyfunction("""COMPUTED_VALUE"""),44048)</f>
        <v>44048</v>
      </c>
      <c r="C16" s="0" t="n">
        <f aca="false">IFERROR(__xludf.dummyfunction("""COMPUTED_VALUE"""),3)</f>
        <v>3</v>
      </c>
      <c r="D16" s="0" t="str">
        <f aca="false">IFERROR(__xludf.dummyfunction("""COMPUTED_VALUE"""),"AICI201904-9-1| Solicitud escrita a referente del módulo Clinical Suite y facturación de trámites necesarios para dar continuidad en el diligenciamiento de HC electrónica. - 20/11/2019")</f>
        <v>AICI201904-9-1| Solicitud escrita a referente del módulo Clinical Suite y facturación de trámites necesarios para dar continuidad en el diligenciamiento de HC electrónica. - 20/11/2019</v>
      </c>
      <c r="E16" s="0" t="str">
        <f aca="false">IFERROR(__xludf.dummyfunction("""COMPUTED_VALUE"""),"Se amplia el plan de comunicaciones con 20 Gigas de navegación a los celulares del PAD")</f>
        <v>Se amplia el plan de comunicaciones con 20 Gigas de navegación a los celulares del PAD</v>
      </c>
      <c r="F16" s="0" t="str">
        <f aca="false">IFERROR(__xludf.dummyfunction("""COMPUTED_VALUE"""),"Completo")</f>
        <v>Completo</v>
      </c>
      <c r="G16" s="20" t="str">
        <f aca="false">IFERROR(__xludf.dummyfunction("""COMPUTED_VALUE"""),"https://drive.google.com/open?id=1UwcF_mD-Mddd2EjvsjQPRs5WUmdiF63S")</f>
        <v>https://drive.google.com/open?id=1UwcF_mD-Mddd2EjvsjQPRs5WUmdiF63S</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sheetData>
  <hyperlinks>
    <hyperlink ref="G4" r:id="rId1" display="https://drive.google.com/open?id=1USnTnSXwyTzDQrhg5RpygU-GiFhgGC4z"/>
    <hyperlink ref="G6" r:id="rId2" display="https://drive.google.com/open?id=14WxVTYmyumBToZH3GQ2JXc4HrtsgMODP"/>
    <hyperlink ref="G8" r:id="rId3" display="https://drive.google.com/open?id=1h_F3c8Pvmrlf5K3eAqqP06168Z8Nd0cP"/>
    <hyperlink ref="G10" r:id="rId4" display="https://drive.google.com/open?id=1OMC-nD-X6i5xs208EcoeGYkCuG8pE1Sw"/>
    <hyperlink ref="G11" r:id="rId5" display="https://drive.google.com/open?id=1x6CPdrm193aQXWsJjBLNuuxoS7_-oiMF"/>
    <hyperlink ref="G15" r:id="rId6" display="https://drive.google.com/open?id=1-9BzY0f5wOTGzdJRQvOrAzIlgPHqqcPy"/>
    <hyperlink ref="G16" r:id="rId7" display="https://drive.google.com/open?id=1UwcF_mD-Mddd2EjvsjQPRs5WUmdiF63S"/>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sheetData>
    <row r="1" customFormat="false" ht="12.75" hidden="false" customHeight="false" outlineLevel="0" collapsed="false">
      <c r="A1" s="13" t="s">
        <v>1846</v>
      </c>
      <c r="B1" s="13" t="s">
        <v>1779</v>
      </c>
      <c r="C1" s="13" t="s">
        <v>1780</v>
      </c>
      <c r="D1" s="13" t="s">
        <v>1781</v>
      </c>
      <c r="E1" s="13" t="s">
        <v>1782</v>
      </c>
      <c r="F1" s="13" t="s">
        <v>1783</v>
      </c>
      <c r="G1" s="13" t="s">
        <v>1784</v>
      </c>
    </row>
    <row r="2" customFormat="false" ht="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AICI201905-4-1-1</v>
      </c>
      <c r="B4" s="19" t="n">
        <f aca="false">IFERROR(__xludf.dummyfunction("""COMPUTED_VALUE"""),43916)</f>
        <v>43916</v>
      </c>
      <c r="C4" s="0" t="n">
        <f aca="false">IFERROR(__xludf.dummyfunction("""COMPUTED_VALUE"""),1)</f>
        <v>1</v>
      </c>
      <c r="D4" s="0" t="str">
        <f aca="false">IFERROR(__xludf.dummyfunction("""COMPUTED_VALUE"""),"AICI201905-4-1| Accion Ajustada: Socializar e implementar el procedimiento de gestión documental y evaluar conocimiento. Accion complementaria: Crear cuenta Institucional de correo electronico para gestion social integral con el fin de unificar el manejo "&amp;"de comunicaciones electronicas (26/08/2019 - 30/11/2019)")</f>
        <v>AICI201905-4-1| Accion Ajustada: Socializar e implementar el procedimiento de gestión documental y evaluar conocimiento. Accion complementaria: Crear cuenta Institucional de correo electronico para gestion social integral con el fin de unificar el manejo de comunicaciones electronicas (26/08/2019 - 30/11/2019)</v>
      </c>
      <c r="E4" s="0" t="str">
        <f aca="false">IFERROR(__xludf.dummyfunction("""COMPUTED_VALUE"""),"Se observa  acta de socialización de los procedimientos de gestión documental, realizada en jornada del dia 30 de noviembre de 2019, en la cual participaron todos los funcionarios de la Oficina de PSSC.  Se verifica acta de reunión con contenidos relacion"&amp;"ados y listado de asistencia.  Se verificó también el soporte del resultado de la evaluación de gestión documental realizada por los funcionarios de Gestión documental, en el cual se reporta cumplimiento del 86%. los soportes son muy pesados y no se puede"&amp;" anexar el archivo. el original reposa en la Oficina de la Jefe de la oficina de Participación Comunitaria y servicio al Ciudadano")</f>
        <v>Se observa  acta de socialización de los procedimientos de gestión documental, realizada en jornada del dia 30 de noviembre de 2019, en la cual participaron todos los funcionarios de la Oficina de PSSC.  Se verifica acta de reunión con contenidos relacionados y listado de asistencia.  Se verificó también el soporte del resultado de la evaluación de gestión documental realizada por los funcionarios de Gestión documental, en el cual se reporta cumplimiento del 86%. los soportes son muy pesados y no se puede anexar el archivo. el original reposa en la Oficina de la Jefe de la oficina de Participación Comunitaria y servicio al Ciudadano</v>
      </c>
      <c r="F4" s="0" t="str">
        <f aca="false">IFERROR(__xludf.dummyfunction("""COMPUTED_VALUE"""),"Completo")</f>
        <v>Completo</v>
      </c>
    </row>
    <row r="5" customFormat="false" ht="14.25" hidden="false" customHeight="false" outlineLevel="0" collapsed="false">
      <c r="A5" s="18" t="str">
        <f aca="false">IFERROR(MID(D5,1,FIND("|",D5)-1)&amp;"-"&amp;C5,"")</f>
        <v>AICI201905-5-1-1</v>
      </c>
      <c r="B5" s="19" t="n">
        <f aca="false">IFERROR(__xludf.dummyfunction("""COMPUTED_VALUE"""),43916)</f>
        <v>43916</v>
      </c>
      <c r="C5" s="0" t="n">
        <f aca="false">IFERROR(__xludf.dummyfunction("""COMPUTED_VALUE"""),1)</f>
        <v>1</v>
      </c>
      <c r="D5" s="0" t="str">
        <f aca="false">IFERROR(__xludf.dummyfunction("""COMPUTED_VALUE"""),"AICI201905-5-1| Gestionar y dar informe de avance de las solicitudes realizadas a la dirección administrativa para el mejoramiento del área fisica de las oficinas de atención de trabajo social en las UMHES Simón y Suba. (31/08/2019 - 30/11/2019)")</f>
        <v>AICI201905-5-1| Gestionar y dar informe de avance de las solicitudes realizadas a la dirección administrativa para el mejoramiento del área fisica de las oficinas de atención de trabajo social en las UMHES Simón y Suba. (31/08/2019 - 30/11/2019)</v>
      </c>
      <c r="E5" s="0" t="str">
        <f aca="false">IFERROR(__xludf.dummyfunction("""COMPUTED_VALUE"""),"Se presentan soportes fotográficos de la adecuación de espacios en las oficinas de trabajo social de CSE Suba y Simón Bolívar. Se anexa registro fotográfico")</f>
        <v>Se presentan soportes fotográficos de la adecuación de espacios en las oficinas de trabajo social de CSE Suba y Simón Bolívar. Se anexa registro fotográfico</v>
      </c>
      <c r="F5" s="0" t="str">
        <f aca="false">IFERROR(__xludf.dummyfunction("""COMPUTED_VALUE"""),"Completo")</f>
        <v>Completo</v>
      </c>
      <c r="G5" s="20" t="str">
        <f aca="false">IFERROR(__xludf.dummyfunction("""COMPUTED_VALUE"""),"https://drive.google.com/open?id=1d4nOJn9abO4aCEVV0OKkqlS_DPoxhPI1")</f>
        <v>https://drive.google.com/open?id=1d4nOJn9abO4aCEVV0OKkqlS_DPoxhPI1</v>
      </c>
    </row>
    <row r="6" customFormat="false" ht="14.25" hidden="false" customHeight="false" outlineLevel="0" collapsed="false">
      <c r="A6" s="18" t="str">
        <f aca="false">IFERROR(MID(D6,1,FIND("|",D6)-1)&amp;"-"&amp;C6,"")</f>
        <v>AICI201905-7-1-1</v>
      </c>
      <c r="B6" s="19" t="n">
        <f aca="false">IFERROR(__xludf.dummyfunction("""COMPUTED_VALUE"""),43916)</f>
        <v>43916</v>
      </c>
      <c r="C6" s="0" t="n">
        <f aca="false">IFERROR(__xludf.dummyfunction("""COMPUTED_VALUE"""),1)</f>
        <v>1</v>
      </c>
      <c r="D6" s="0" t="str">
        <f aca="false">IFERROR(__xludf.dummyfunction("""COMPUTED_VALUE"""),"AICI201905-7-1| Diseñar, socializar e implementar un formato que permita el registro completo de la información brindada al usuario desde las diferentes actividades contempladas en las transversalidades adoptadas por la oficina y las temáticas de interes "&amp;"para el usuario en el SGSSS (05/08/2019 - 15/09/2019)")</f>
        <v>AICI201905-7-1| Diseñar, socializar e implementar un formato que permita el registro completo de la información brindada al usuario desde las diferentes actividades contempladas en las transversalidades adoptadas por la oficina y las temáticas de interes para el usuario en el SGSSS (05/08/2019 - 15/09/2019)</v>
      </c>
      <c r="E6" s="0" t="str">
        <f aca="false">IFERROR(__xludf.dummyfunction("""COMPUTED_VALUE"""),"Se actualizaron los formatos de Revista Social en hospitalización y urgencias  y Orientaciones  de Consulta Externa incluyendo  la información brindada al usuario desde las diferentes actividades contempladas en las transversalidades adoptadas por la ofic"&amp;"ina y las temáticas de interes para el usuario en el SGSSS. Los documentos fueron socializados en la jornada de fortalecimiento  de las Competencias del Talento Humano. Se encuentran en la intranet ES-PA-F-18-02-REVISTA+SOCIAL+HOSPITALIZACIÓN+Y+CIRUGÍA, E"&amp;"S-PA-F-29-02-ORIENTACIONES+CONSULTA+EXTERNA. se anexan formatos")</f>
        <v>Se actualizaron los formatos de Revista Social en hospitalización y urgencias  y Orientaciones  de Consulta Externa incluyendo  la información brindada al usuario desde las diferentes actividades contempladas en las transversalidades adoptadas por la oficina y las temáticas de interes para el usuario en el SGSSS. Los documentos fueron socializados en la jornada de fortalecimiento  de las Competencias del Talento Humano. Se encuentran en la intranet ES-PA-F-18-02-REVISTA+SOCIAL+HOSPITALIZACIÓN+Y+CIRUGÍA, ES-PA-F-29-02-ORIENTACIONES+CONSULTA+EXTERNA. se anexan formatos</v>
      </c>
      <c r="F6" s="0" t="str">
        <f aca="false">IFERROR(__xludf.dummyfunction("""COMPUTED_VALUE"""),"Completo")</f>
        <v>Completo</v>
      </c>
      <c r="G6" s="0" t="str">
        <f aca="false">IFERROR(__xludf.dummyfunction("""COMPUTED_VALUE"""),"https://drive.google.com/open?id=1qM7XbdB5VypVxOsteA6EEOEB3uBnG2fz, https://drive.google.com/open?id=130AdfCMuOFqEmuaMmL62QmXIO7IinVsQ")</f>
        <v>https://drive.google.com/open?id=1qM7XbdB5VypVxOsteA6EEOEB3uBnG2fz, https://drive.google.com/open?id=130AdfCMuOFqEmuaMmL62QmXIO7IinVsQ</v>
      </c>
    </row>
    <row r="7" customFormat="false" ht="14.25" hidden="false" customHeight="false" outlineLevel="0" collapsed="false">
      <c r="A7" s="18" t="str">
        <f aca="false">IFERROR(MID(D7,1,FIND("|",D7)-1)&amp;"-"&amp;C7,"")</f>
        <v>AICI201905-3-1-1</v>
      </c>
      <c r="B7" s="19" t="n">
        <f aca="false">IFERROR(__xludf.dummyfunction("""COMPUTED_VALUE"""),43915)</f>
        <v>43915</v>
      </c>
      <c r="C7" s="0" t="n">
        <f aca="false">IFERROR(__xludf.dummyfunction("""COMPUTED_VALUE"""),1)</f>
        <v>1</v>
      </c>
      <c r="D7" s="0" t="str">
        <f aca="false">IFERROR(__xludf.dummyfunction("""COMPUTED_VALUE"""),"AICI201905-3-1| Revisar, actualizar e incorporar el documento de soporte metodológico que incluya la actualización de la muestra teniendo en cuenta la población de usuarios atendidos durante el periodo agosto de 2018 a julio de 2019 y los servicios defini"&amp;"dos para la aplicación de la misma (urgencias, consulta externa y hospitalizacion), (01/09/2019 - 30/11/2019)")</f>
        <v>AICI201905-3-1| Revisar, actualizar e incorporar el documento de soporte metodológico que incluya la actualización de la muestra teniendo en cuenta la población de usuarios atendidos durante el periodo agosto de 2018 a julio de 2019 y los servicios definidos para la aplicación de la misma (urgencias, consulta externa y hospitalizacion), (01/09/2019 - 30/11/2019)</v>
      </c>
      <c r="E7" s="0" t="str">
        <f aca="false">IFERROR(__xludf.dummyfunction("""COMPUTED_VALUE"""),"Solicitar la adopción del Manual SIDMA (Sistema de Información Distrital y De Monitoreo del Acceso) y del Manual SDQS de la Secretaria Distrital de Salud,  como documento externo. Se evidencia documento ""METODOLOGIA DE MUESTREO PARA ENCUESTAS DE SATISFAC"&amp;"CIÓN SUBRED NORTE""  el cual describe técnicamente todo el proceso de cálculo de las muestras para la aplicación de las encuestas de satisfacción en las diferentes unidades y en los servicios de consulta externa, hospitalización y urgencias, estos 2 últim"&amp;"os en cada una de las sedes a las cuales aplican. se anexa documento en mención como soporte.")</f>
        <v>Solicitar la adopción del Manual SIDMA (Sistema de Información Distrital y De Monitoreo del Acceso) y del Manual SDQS de la Secretaria Distrital de Salud,  como documento externo. Se evidencia documento "METODOLOGIA DE MUESTREO PARA ENCUESTAS DE SATISFACCIÓN SUBRED NORTE"  el cual describe técnicamente todo el proceso de cálculo de las muestras para la aplicación de las encuestas de satisfacción en las diferentes unidades y en los servicios de consulta externa, hospitalización y urgencias, estos 2 últimos en cada una de las sedes a las cuales aplican. se anexa documento en mención como soporte.</v>
      </c>
      <c r="F7" s="0" t="str">
        <f aca="false">IFERROR(__xludf.dummyfunction("""COMPUTED_VALUE"""),"Completo")</f>
        <v>Completo</v>
      </c>
      <c r="G7" s="20" t="str">
        <f aca="false">IFERROR(__xludf.dummyfunction("""COMPUTED_VALUE"""),"https://drive.google.com/open?id=11VeXCXkEi8kqO1MtQnPzzI8LcPV9VMqp")</f>
        <v>https://drive.google.com/open?id=11VeXCXkEi8kqO1MtQnPzzI8LcPV9VMqp</v>
      </c>
    </row>
    <row r="8" customFormat="false" ht="14.25" hidden="false" customHeight="false" outlineLevel="0" collapsed="false">
      <c r="A8" s="18" t="str">
        <f aca="false">IFERROR(MID(D8,1,FIND("|",D8)-1)&amp;"-"&amp;C8,"")</f>
        <v>AICI201905-4-1-1</v>
      </c>
      <c r="B8" s="19" t="n">
        <f aca="false">IFERROR(__xludf.dummyfunction("""COMPUTED_VALUE"""),43915)</f>
        <v>43915</v>
      </c>
      <c r="C8" s="0" t="n">
        <f aca="false">IFERROR(__xludf.dummyfunction("""COMPUTED_VALUE"""),1)</f>
        <v>1</v>
      </c>
      <c r="D8" s="0" t="str">
        <f aca="false">IFERROR(__xludf.dummyfunction("""COMPUTED_VALUE"""),"AICI201905-4-1| Accion Ajustada: Socializar e implementar el procedimiento de gestión documental y evaluar conocimiento. Accion complementaria: Crear cuenta Institucional de correo electronico para gestion social integral con el fin de unificar el manejo "&amp;"de comunicaciones electronicas (26/08/2019 - 30/11/2019)")</f>
        <v>AICI201905-4-1| Accion Ajustada: Socializar e implementar el procedimiento de gestión documental y evaluar conocimiento. Accion complementaria: Crear cuenta Institucional de correo electronico para gestion social integral con el fin de unificar el manejo de comunicaciones electronicas (26/08/2019 - 30/11/2019)</v>
      </c>
      <c r="E8" s="0" t="str">
        <f aca="false">IFERROR(__xludf.dummyfunction("""COMPUTED_VALUE"""),"Se observa  acta de socialización de los procedimientos de gestión documental, realizada en jornada del dia 30 de noviembre de 2019, en la cual participaron todos los funcionarios de la Oficina de PSSC.  Se realizó verificación soporte de acta de reunión "&amp;"con contenidos relacionados y listado de asistencia, los cuales reposan en la oficina de la jefe de la oficina de PSSC, no se puede subir acta al aplicativo porque es muy pesada.  Se anexó también el soporte del resultado de la evaluación de gestión docum"&amp;"ental realizada por los funcionarios de Gestión documental, en el cual se reporta cumplimiento del 86%. se anexa informe ")</f>
        <v>Se observa  acta de socialización de los procedimientos de gestión documental, realizada en jornada del dia 30 de noviembre de 2019, en la cual participaron todos los funcionarios de la Oficina de PSSC.  Se realizó verificación soporte de acta de reunión con contenidos relacionados y listado de asistencia, los cuales reposan en la oficina de la jefe de la oficina de PSSC, no se puede subir acta al aplicativo porque es muy pesada.  Se anexó también el soporte del resultado de la evaluación de gestión documental realizada por los funcionarios de Gestión documental, en el cual se reporta cumplimiento del 86%. se anexa informe </v>
      </c>
      <c r="F8" s="0" t="str">
        <f aca="false">IFERROR(__xludf.dummyfunction("""COMPUTED_VALUE"""),"Completo")</f>
        <v>Completo</v>
      </c>
      <c r="G8" s="20" t="str">
        <f aca="false">IFERROR(__xludf.dummyfunction("""COMPUTED_VALUE"""),"https://drive.google.com/open?id=1o7cfDiLiF6AIDiSEVbRRpWHJyVfsjrVH")</f>
        <v>https://drive.google.com/open?id=1o7cfDiLiF6AIDiSEVbRRpWHJyVfsjrVH</v>
      </c>
    </row>
    <row r="9" customFormat="false" ht="14.25" hidden="false" customHeight="false" outlineLevel="0" collapsed="false">
      <c r="A9" s="18" t="str">
        <f aca="false">IFERROR(MID(D9,1,FIND("|",D9)-1)&amp;"-"&amp;C9,"")</f>
        <v>AICI201905-8-1-1</v>
      </c>
      <c r="B9" s="19" t="n">
        <f aca="false">IFERROR(__xludf.dummyfunction("""COMPUTED_VALUE"""),43915)</f>
        <v>43915</v>
      </c>
      <c r="C9" s="0" t="n">
        <f aca="false">IFERROR(__xludf.dummyfunction("""COMPUTED_VALUE"""),1)</f>
        <v>1</v>
      </c>
      <c r="D9" s="0" t="str">
        <f aca="false">IFERROR(__xludf.dummyfunction("""COMPUTED_VALUE"""),"AICI201905-8-1| Actualizar, socializar e implementar los procedimientos de la Oficina de Participación Comunitaria y Servicio al Ciudadano. Actualizaren el Manual de Servicio al ciudadano, las actividades de Gestión social integral acorde las mejoras que "&amp;"en la operación del equipo se han ido ajustando y socializar con el personal asistencial de las direcciones de hospitalziacion y urgencias. (15/08/2019 - 30/10/2019)")</f>
        <v>AICI201905-8-1| Actualizar, socializar e implementar los procedimientos de la Oficina de Participación Comunitaria y Servicio al Ciudadano. Actualizaren el Manual de Servicio al ciudadano, las actividades de Gestión social integral acorde las mejoras que en la operación del equipo se han ido ajustando y socializar con el personal asistencial de las direcciones de hospitalziacion y urgencias. (15/08/2019 - 30/10/2019)</v>
      </c>
      <c r="E9" s="0" t="str">
        <f aca="false">IFERROR(__xludf.dummyfunction("""COMPUTED_VALUE"""),"Se observa actualización de los procedimientos de la Oficina de Participación Comunitaria y Servicio al Ciudadano.  PROCEDIMIENTOATENCIÓN AL USUARIO Y ACCESO A LOS SERVICIOS  CÓDIGO: ES-PA-P-02-02  en octubre de 2019.  PROCEDIMIENTOGESTIÓN DE PARTICIPACIÓ"&amp;"N SOCIAL Y COMUNITARIA   CÓDIGO: ES-PA-P-03-02  en noviembre de 2019.  PROCEDIMIENTO GESTIÓN DE LA VOZ DEL USUARIO  CÓDIGO: ES-PA-P-01-03  en noviembre de 2019, los cuales se encuentran publicados en la Intranet institucional;   Se actualizaron las activi"&amp;"dades  de Gestión social integral acorde las actualizaciones de las norma y las mejoras  en la operación, esta información se encuentra en Manual de Servicio al ciudadano, que también se encuentra publicado en la Intranet.  Se socializó con el personal as"&amp;"istencial de hospitalización y urgencias. Se socializan en jornada de fortalecimiento de las competencias del talento humano para su inmediata implementación. Se verificó acta y contenido, no se puede subir por peso del archivo ")</f>
        <v>Se observa actualización de los procedimientos de la Oficina de Participación Comunitaria y Servicio al Ciudadano.  PROCEDIMIENTOATENCIÓN AL USUARIO Y ACCESO A LOS SERVICIOS  CÓDIGO: ES-PA-P-02-02  en octubre de 2019.  PROCEDIMIENTOGESTIÓN DE PARTICIPACIÓN SOCIAL Y COMUNITARIA   CÓDIGO: ES-PA-P-03-02  en noviembre de 2019.  PROCEDIMIENTO GESTIÓN DE LA VOZ DEL USUARIO  CÓDIGO: ES-PA-P-01-03  en noviembre de 2019, los cuales se encuentran publicados en la Intranet institucional;   Se actualizaron las actividades  de Gestión social integral acorde las actualizaciones de las norma y las mejoras  en la operación, esta información se encuentra en Manual de Servicio al ciudadano, que también se encuentra publicado en la Intranet.  Se socializó con el personal asistencial de hospitalización y urgencias. Se socializan en jornada de fortalecimiento de las competencias del talento humano para su inmediata implementación. Se verificó acta y contenido, no se puede subir por peso del archivo </v>
      </c>
      <c r="F9" s="0" t="str">
        <f aca="false">IFERROR(__xludf.dummyfunction("""COMPUTED_VALUE"""),"Completo")</f>
        <v>Completo</v>
      </c>
    </row>
    <row r="10" customFormat="false" ht="14.25" hidden="false" customHeight="false" outlineLevel="0" collapsed="false">
      <c r="A10" s="18" t="str">
        <f aca="false">IFERROR(MID(D10,1,FIND("|",D10)-1)&amp;"-"&amp;C10,"")</f>
        <v>AICI201905-9-1-1</v>
      </c>
      <c r="B10" s="19" t="n">
        <f aca="false">IFERROR(__xludf.dummyfunction("""COMPUTED_VALUE"""),43915)</f>
        <v>43915</v>
      </c>
      <c r="C10" s="0" t="n">
        <f aca="false">IFERROR(__xludf.dummyfunction("""COMPUTED_VALUE"""),1)</f>
        <v>1</v>
      </c>
      <c r="D10" s="0" t="str">
        <f aca="false">IFERROR(__xludf.dummyfunction("""COMPUTED_VALUE"""),"AICI201905-9-1| Dar cumplimiento a las actividades programadas en la ejecución del convenio de la ruta de la salud, incluyendo la contratación del Talento Humano y del parque automotor contratado (revisión y cumplimiento de requisitos estipulados en el co"&amp;"ntrato). (01/08/2019 - 10/09/2019)")</f>
        <v>AICI201905-9-1| Dar cumplimiento a las actividades programadas en la ejecución del convenio de la ruta de la salud, incluyendo la contratación del Talento Humano y del parque automotor contratado (revisión y cumplimiento de requisitos estipulados en el contrato). (01/08/2019 - 10/09/2019)</v>
      </c>
      <c r="E10" s="0" t="str">
        <f aca="false">IFERROR(__xludf.dummyfunction("""COMPUTED_VALUE"""),"No se pueden revisar soportes por cuarentena.")</f>
        <v>No se pueden revisar soportes por cuarentena.</v>
      </c>
      <c r="F10" s="0" t="str">
        <f aca="false">IFERROR(__xludf.dummyfunction("""COMPUTED_VALUE"""),"Atrasado")</f>
        <v>Atrasado</v>
      </c>
    </row>
    <row r="11" customFormat="false" ht="14.25" hidden="false" customHeight="false" outlineLevel="0" collapsed="false">
      <c r="A11" s="18" t="str">
        <f aca="false">IFERROR(MID(D11,1,FIND("|",D11)-1)&amp;"-"&amp;C11,"")</f>
        <v>AICI201905-10-1-1</v>
      </c>
      <c r="B11" s="19" t="n">
        <f aca="false">IFERROR(__xludf.dummyfunction("""COMPUTED_VALUE"""),43915)</f>
        <v>43915</v>
      </c>
      <c r="C11" s="0" t="n">
        <f aca="false">IFERROR(__xludf.dummyfunction("""COMPUTED_VALUE"""),1)</f>
        <v>1</v>
      </c>
      <c r="D11" s="0" t="str">
        <f aca="false">IFERROR(__xludf.dummyfunction("""COMPUTED_VALUE"""),"AICI201905-10-1| Solicitar a la SDS el ajuste del perfil ""profesional del area de la salud y/o administrativa de dedicación exclusiva para liderar y desarrollar las actividades de coordinación de la ruta"" en los convenios de ruta, teniendo en cuenta la "&amp;"experiencia relacionada y las actividades de coordinación administrativa y financiera a realizar (01/08/2019 - 10/09/2019)")</f>
        <v>AICI201905-10-1| Solicitar a la SDS el ajuste del perfil "profesional del area de la salud y/o administrativa de dedicación exclusiva para liderar y desarrollar las actividades de coordinación de la ruta" en los convenios de ruta, teniendo en cuenta la experiencia relacionada y las actividades de coordinación administrativa y financiera a realizar (01/08/2019 - 10/09/2019)</v>
      </c>
      <c r="E11" s="0" t="str">
        <f aca="false">IFERROR(__xludf.dummyfunction("""COMPUTED_VALUE"""),"No se puede verificar por cuarentena")</f>
        <v>No se puede verificar por cuarentena</v>
      </c>
      <c r="F11" s="0" t="str">
        <f aca="false">IFERROR(__xludf.dummyfunction("""COMPUTED_VALUE"""),"Atrasado")</f>
        <v>Atrasado</v>
      </c>
      <c r="G11" s="20" t="str">
        <f aca="false">IFERROR(__xludf.dummyfunction("""COMPUTED_VALUE"""),"https://drive.google.com/open?id=1dserzHWyhPHkS5Uz5tMhDkksrZpEckp5")</f>
        <v>https://drive.google.com/open?id=1dserzHWyhPHkS5Uz5tMhDkksrZpEckp5</v>
      </c>
    </row>
    <row r="12" customFormat="false" ht="14.25" hidden="false" customHeight="false" outlineLevel="0" collapsed="false">
      <c r="A12" s="18" t="str">
        <f aca="false">IFERROR(MID(D12,1,FIND("|",D12)-1)&amp;"-"&amp;C12,"")</f>
        <v>AICI201905-12-1-1</v>
      </c>
      <c r="B12" s="19" t="n">
        <f aca="false">IFERROR(__xludf.dummyfunction("""COMPUTED_VALUE"""),43915)</f>
        <v>43915</v>
      </c>
      <c r="C12" s="0" t="n">
        <f aca="false">IFERROR(__xludf.dummyfunction("""COMPUTED_VALUE"""),1)</f>
        <v>1</v>
      </c>
      <c r="D12" s="0" t="str">
        <f aca="false">IFERROR(__xludf.dummyfunction("""COMPUTED_VALUE"""),"AICI201905-12-1| Dar cumplimiento a las actividades programadas en la ejecución del convenio de participacion social vigente acorde la ejecución fisica y financiera aprobada y solicitar la aprobación de ajustes a la actividades aclarando en las actas de c"&amp;"omité tecnico de seguimniento, la justificación del ajuste y el solicitante del mismo. (01/08/2019 - 10/09/2019)")</f>
        <v>AICI201905-12-1| Dar cumplimiento a las actividades programadas en la ejecución del convenio de participacion social vigente acorde la ejecución fisica y financiera aprobada y solicitar la aprobación de ajustes a la actividades aclarando en las actas de comité tecnico de seguimniento, la justificación del ajuste y el solicitante del mismo. (01/08/2019 - 10/09/2019)</v>
      </c>
      <c r="E12" s="0" t="str">
        <f aca="false">IFERROR(__xludf.dummyfunction("""COMPUTED_VALUE"""),"Se informa que se dió cumplimiento a las actividades programadas en la ejecución del convenio de participacion social vigente acorde la ejecución fisica y financiera y a los ajustes aprobados en los comités técnicos, los cuales quedan  en las actas de com"&amp;"ité realizadas por la SDS con la justificación del ajuste o modificación de la actividad. Se cuenta con informe final y las actas de comite tecnico. no se puede verificar por cuarentena. ")</f>
        <v>Se informa que se dió cumplimiento a las actividades programadas en la ejecución del convenio de participacion social vigente acorde la ejecución fisica y financiera y a los ajustes aprobados en los comités técnicos, los cuales quedan  en las actas de comité realizadas por la SDS con la justificación del ajuste o modificación de la actividad. Se cuenta con informe final y las actas de comite tecnico. no se puede verificar por cuarentena. </v>
      </c>
      <c r="F12" s="0" t="str">
        <f aca="false">IFERROR(__xludf.dummyfunction("""COMPUTED_VALUE"""),"En desarrollo")</f>
        <v>En desarrollo</v>
      </c>
    </row>
    <row r="13" customFormat="false" ht="14.25" hidden="false" customHeight="false" outlineLevel="0" collapsed="false">
      <c r="A13" s="18" t="str">
        <f aca="false">IFERROR(MID(D13,1,FIND("|",D13)-1)&amp;"-"&amp;C13,"")</f>
        <v>AICI201905-11-1-1</v>
      </c>
      <c r="B13" s="19" t="n">
        <f aca="false">IFERROR(__xludf.dummyfunction("""COMPUTED_VALUE"""),43915)</f>
        <v>43915</v>
      </c>
      <c r="C13" s="0" t="n">
        <f aca="false">IFERROR(__xludf.dummyfunction("""COMPUTED_VALUE"""),1)</f>
        <v>1</v>
      </c>
      <c r="D13" s="0" t="str">
        <f aca="false">IFERROR(__xludf.dummyfunction("""COMPUTED_VALUE"""),"AICI201905-11-1| Continuar con la clasificación y archivo de los documentos y soportes generados en el convenio vigente No. 547714-2018 para entrega a gestion documental. (01/08/2019 - 10/09/2019)")</f>
        <v>AICI201905-11-1| Continuar con la clasificación y archivo de los documentos y soportes generados en el convenio vigente No. 547714-2018 para entrega a gestion documental. (01/08/2019 - 10/09/2019)</v>
      </c>
      <c r="E13" s="0" t="str">
        <f aca="false">IFERROR(__xludf.dummyfunction("""COMPUTED_VALUE"""),"Se indica que se realizó la clasificación y archivo de los documentos y soportes generados en el convenio vigente No. 547714-2018 como archivo de consulta, de acuerdo a la indicación del procedimiento de gestión de documentos. No se puede verificar por cu"&amp;"arentena")</f>
        <v>Se indica que se realizó la clasificación y archivo de los documentos y soportes generados en el convenio vigente No. 547714-2018 como archivo de consulta, de acuerdo a la indicación del procedimiento de gestión de documentos. No se puede verificar por cuarentena</v>
      </c>
      <c r="F13" s="0" t="str">
        <f aca="false">IFERROR(__xludf.dummyfunction("""COMPUTED_VALUE"""),"En desarrollo")</f>
        <v>En desarrollo</v>
      </c>
    </row>
    <row r="14" customFormat="false" ht="14.25" hidden="false" customHeight="false" outlineLevel="0" collapsed="false">
      <c r="A14" s="18" t="str">
        <f aca="false">IFERROR(MID(D14,1,FIND("|",D14)-1)&amp;"-"&amp;C14,"")</f>
        <v>AICI201905-6-1-1</v>
      </c>
      <c r="B14" s="19" t="n">
        <f aca="false">IFERROR(__xludf.dummyfunction("""COMPUTED_VALUE"""),43915)</f>
        <v>43915</v>
      </c>
      <c r="C14" s="0" t="n">
        <f aca="false">IFERROR(__xludf.dummyfunction("""COMPUTED_VALUE"""),1)</f>
        <v>1</v>
      </c>
      <c r="D14" s="0" t="str">
        <f aca="false">IFERROR(__xludf.dummyfunction("""COMPUTED_VALUE"""),"AICI201905-6-1| Estandarizar las actividades para identificación, gestión, registro y seguimiento de los pacientes en condición de abandono social, estableciendo puntos de control. Socializar e implementar (15/08/2019 - 31/12/2019)")</f>
        <v>AICI201905-6-1| Estandarizar las actividades para identificación, gestión, registro y seguimiento de los pacientes en condición de abandono social, estableciendo puntos de control. Socializar e implementar (15/08/2019 - 31/12/2019)</v>
      </c>
      <c r="E14" s="0" t="str">
        <f aca="false">IFERROR(__xludf.dummyfunction("""COMPUTED_VALUE"""),"Se evidencia  que el documento Manual de Servicio al Ciudadano que se encuentra publicado en la intranet institucional se realizó la estandarización de actividades de Gestión Social Integral, entre las cuales se incluye   la identificación, gestión, regis"&amp;"tro y seguimiento de los pacientes en condición de abandono social, estableciendo puntos de control. de igual manera se presenta informe que relaciona el proceso de socializacion de este procedimientos a los colaboradores responsables. Dado que en el info"&amp;"rme se refiere  que en enero de 2019 se realizó una socialización de el Manual de Servicio al Ciudadano al equipo de Gestión Social Integral en actualización del Manual de Servicio al Ciudadano , se requiere verificar los soportes de socialización y de im"&amp;"plementación. no se puede verificar esto por cuarentena")</f>
        <v>Se evidencia  que el documento Manual de Servicio al Ciudadano que se encuentra publicado en la intranet institucional se realizó la estandarización de actividades de Gestión Social Integral, entre las cuales se incluye   la identificación, gestión, registro y seguimiento de los pacientes en condición de abandono social, estableciendo puntos de control. de igual manera se presenta informe que relaciona el proceso de socializacion de este procedimientos a los colaboradores responsables. Dado que en el informe se refiere  que en enero de 2019 se realizó una socialización de el Manual de Servicio al Ciudadano al equipo de Gestión Social Integral en actualización del Manual de Servicio al Ciudadano , se requiere verificar los soportes de socialización y de implementación. no se puede verificar esto por cuarentena</v>
      </c>
      <c r="F14" s="0" t="str">
        <f aca="false">IFERROR(__xludf.dummyfunction("""COMPUTED_VALUE"""),"Atrasado")</f>
        <v>Atrasado</v>
      </c>
    </row>
    <row r="15" customFormat="false" ht="14.25" hidden="false" customHeight="false" outlineLevel="0" collapsed="false">
      <c r="A15" s="18" t="str">
        <f aca="false">IFERROR(MID(D15,1,FIND("|",D15)-1)&amp;"-"&amp;C15,"")</f>
        <v>AICI201905-1-1-1</v>
      </c>
      <c r="B15" s="19" t="n">
        <f aca="false">IFERROR(__xludf.dummyfunction("""COMPUTED_VALUE"""),43915)</f>
        <v>43915</v>
      </c>
      <c r="C15" s="0" t="n">
        <f aca="false">IFERROR(__xludf.dummyfunction("""COMPUTED_VALUE"""),1)</f>
        <v>1</v>
      </c>
      <c r="D15" s="0" t="str">
        <f aca="false">IFERROR(__xludf.dummyfunction("""COMPUTED_VALUE"""),"AICI201905-1-1| Incluir la estrategia CIUC (Centro de Información Unificada al Ciudadano) en el Manual del Servicio al Ciudadano (01/08/2019 - 31/12/2019)")</f>
        <v>AICI201905-1-1| Incluir la estrategia CIUC (Centro de Información Unificada al Ciudadano) en el Manual del Servicio al Ciudadano (01/08/2019 - 31/12/2019)</v>
      </c>
      <c r="E15" s="0" t="str">
        <f aca="false">IFERROR(__xludf.dummyfunction("""COMPUTED_VALUE"""),"En el documento  ES-PA-M-01-03-MANUAL+DE+SERVICIO+AL+CIUDADANO. Version 3 con fecha diciembre de 2019, se evidencia el ITEM   CENTROS DE INFORMACIÓN UNIFICADA AL CIUDADANO- CIUC  en el cual se observa  el objetivo de los  mismos en la Subred la ubicación "&amp;"de los centros de información , sus funciones y estructura . de igual manera se aprecia en el documento el tipo de información que se brinda en cada uno de los puntos dependiendo del eje de funcionamiento (eje central o eje intermedio). dicha información "&amp;"se puede consultar  en el documentos que se encuentra en la Intranet institucional")</f>
        <v>En el documento  ES-PA-M-01-03-MANUAL+DE+SERVICIO+AL+CIUDADANO. Version 3 con fecha diciembre de 2019, se evidencia el ITEM   CENTROS DE INFORMACIÓN UNIFICADA AL CIUDADANO- CIUC  en el cual se observa  el objetivo de los  mismos en la Subred la ubicación de los centros de información , sus funciones y estructura . de igual manera se aprecia en el documento el tipo de información que se brinda en cada uno de los puntos dependiendo del eje de funcionamiento (eje central o eje intermedio). dicha información se puede consultar  en el documentos que se encuentra en la Intranet institucional</v>
      </c>
      <c r="F15" s="0" t="str">
        <f aca="false">IFERROR(__xludf.dummyfunction("""COMPUTED_VALUE"""),"Completo")</f>
        <v>Completo</v>
      </c>
    </row>
    <row r="16" customFormat="false" ht="14.25" hidden="false" customHeight="false" outlineLevel="0" collapsed="false">
      <c r="A16" s="18" t="str">
        <f aca="false">IFERROR(MID(D16,1,FIND("|",D16)-1)&amp;"-"&amp;C16,"")</f>
        <v>AICI201905-2-1-1</v>
      </c>
      <c r="B16" s="19" t="n">
        <f aca="false">IFERROR(__xludf.dummyfunction("""COMPUTED_VALUE"""),43915)</f>
        <v>43915</v>
      </c>
      <c r="C16" s="0" t="n">
        <f aca="false">IFERROR(__xludf.dummyfunction("""COMPUTED_VALUE"""),1)</f>
        <v>1</v>
      </c>
      <c r="D16" s="0" t="str">
        <f aca="false">IFERROR(__xludf.dummyfunction("""COMPUTED_VALUE"""),"AICI201905-2-1| Solicitar la adopción del Manual SIDMA (Sistema de Información Distrital y De Monitoreo del Acceso) y del Manual SDQS de la Secretaria Distrital de Salud, como documento externo. (01/08/2019 - 30/11/2019)")</f>
        <v>AICI201905-2-1| Solicitar la adopción del Manual SIDMA (Sistema de Información Distrital y De Monitoreo del Acceso) y del Manual SDQS de la Secretaria Distrital de Salud, como documento externo. (01/08/2019 - 30/11/2019)</v>
      </c>
      <c r="E16" s="0" t="str">
        <f aca="false">IFERROR(__xludf.dummyfunction("""COMPUTED_VALUE"""),"Se evidencia la adopción y publicacion de los documentos  ES-EXM-03-01 Manual de usuario aplicativo SIDMA. ES-X-M-04-01 Manual orientación aplicativo SIDMA. ES-EXM-01-01 Manual para la gestión de peticiones. Se encuentran para consulta en la intranet , lo"&amp;"s cuales se encuentran publicados en la Intranet institucional.")</f>
        <v>Se evidencia la adopción y publicacion de los documentos  ES-EXM-03-01 Manual de usuario aplicativo SIDMA. ES-X-M-04-01 Manual orientación aplicativo SIDMA. ES-EXM-01-01 Manual para la gestión de peticiones. Se encuentran para consulta en la intranet , los cuales se encuentran publicados en la Intranet institucional.</v>
      </c>
      <c r="F16" s="0" t="str">
        <f aca="false">IFERROR(__xludf.dummyfunction("""COMPUTED_VALUE"""),"Completo")</f>
        <v>Completo</v>
      </c>
    </row>
    <row r="17" customFormat="false" ht="14.25" hidden="false" customHeight="false" outlineLevel="0" collapsed="false">
      <c r="A17" s="18" t="str">
        <f aca="false">IFERROR(MID(D17,1,FIND("|",D17)-1)&amp;"-"&amp;C17,"")</f>
        <v>AICI201905-6-1-2</v>
      </c>
      <c r="B17" s="19" t="n">
        <f aca="false">IFERROR(__xludf.dummyfunction("""COMPUTED_VALUE"""),44026)</f>
        <v>44026</v>
      </c>
      <c r="C17" s="0" t="n">
        <f aca="false">IFERROR(__xludf.dummyfunction("""COMPUTED_VALUE"""),2)</f>
        <v>2</v>
      </c>
      <c r="D17" s="0" t="str">
        <f aca="false">IFERROR(__xludf.dummyfunction("""COMPUTED_VALUE"""),"AICI201905-6-1| Estandarizar las actividades para identificación, gestión, registro y seguimiento de los pacientes en condición de abandono social, estableciendo puntos de control. Socializar e implementar (15/08/2019 - 31/12/2019)")</f>
        <v>AICI201905-6-1| Estandarizar las actividades para identificación, gestión, registro y seguimiento de los pacientes en condición de abandono social, estableciendo puntos de control. Socializar e implementar (15/08/2019 - 31/12/2019)</v>
      </c>
      <c r="E17" s="0" t="str">
        <f aca="false">IFERROR(__xludf.dummyfunction("""COMPUTED_VALUE"""),"Se verificaron soportes de socializaciones del Manual del Servicio al ciudadano que incluye el procedimiento de gestión social integral, se anexan actas de las socializaciones. En las socializaciones también se trató el tema de gestión de pacientes en aba"&amp;"ndono social y se indicó manejo del drive que se utilizaría para realizar seguimiento y control a la gestión. Se tuvo acceso al drive, en el cual se lleva seguimiento desde el mes de enero hasta julio de 2020 de los pacientes en abandono social y la gesti"&amp;"ón realizada ante las diferentes instituciones encargadas.")</f>
        <v>Se verificaron soportes de socializaciones del Manual del Servicio al ciudadano que incluye el procedimiento de gestión social integral, se anexan actas de las socializaciones. En las socializaciones también se trató el tema de gestión de pacientes en abandono social y se indicó manejo del drive que se utilizaría para realizar seguimiento y control a la gestión. Se tuvo acceso al drive, en el cual se lleva seguimiento desde el mes de enero hasta julio de 2020 de los pacientes en abandono social y la gestión realizada ante las diferentes instituciones encargadas.</v>
      </c>
      <c r="F17" s="0" t="str">
        <f aca="false">IFERROR(__xludf.dummyfunction("""COMPUTED_VALUE"""),"Completo")</f>
        <v>Completo</v>
      </c>
      <c r="G17" s="20" t="str">
        <f aca="false">IFERROR(__xludf.dummyfunction("""COMPUTED_VALUE"""),"https://drive.google.com/open?id=1rm7xpIRz8w39YLXJXDPAdfmqqacF8JLW")</f>
        <v>https://drive.google.com/open?id=1rm7xpIRz8w39YLXJXDPAdfmqqacF8JLW</v>
      </c>
    </row>
    <row r="18" customFormat="false" ht="14.25" hidden="false" customHeight="false" outlineLevel="0" collapsed="false">
      <c r="A18" s="18" t="str">
        <f aca="false">IFERROR(MID(D18,1,FIND("|",D18)-1)&amp;"-"&amp;C18,"")</f>
        <v>AICI201905-9-1-2</v>
      </c>
      <c r="B18" s="19" t="n">
        <f aca="false">IFERROR(__xludf.dummyfunction("""COMPUTED_VALUE"""),43996)</f>
        <v>43996</v>
      </c>
      <c r="C18" s="0" t="n">
        <f aca="false">IFERROR(__xludf.dummyfunction("""COMPUTED_VALUE"""),2)</f>
        <v>2</v>
      </c>
      <c r="D18" s="0" t="str">
        <f aca="false">IFERROR(__xludf.dummyfunction("""COMPUTED_VALUE"""),"AICI201905-9-1| Dar cumplimiento a las actividades programadas en la ejecución del convenio de la ruta de la salud, incluyendo la contratación del Talento Humano y del parque automotor contratado (revisión y cumplimiento de requisitos estipulados en el co"&amp;"ntrato). (01/08/2019 - 10/09/2019)")</f>
        <v>AICI201905-9-1| Dar cumplimiento a las actividades programadas en la ejecución del convenio de la ruta de la salud, incluyendo la contratación del Talento Humano y del parque automotor contratado (revisión y cumplimiento de requisitos estipulados en el contrato). (01/08/2019 - 10/09/2019)</v>
      </c>
      <c r="E18" s="0" t="str">
        <f aca="false">IFERROR(__xludf.dummyfunction("""COMPUTED_VALUE""")," Se revisó informe final del convenio 547714-2018 el cual fue presentado a la SDS, como soporte de cumplimiento.  En el se describe que se dió cumplimiento a todos los puntos relacionados en los hallazgos de la auditoría, como talento humano, vehículos, d"&amp;"otación, equipos de comunicaciones, y actividades programadas.  Este informe fué entregado en octubre de 2019, debido a las dificultades generadas por la pandemia, aún no se cuenta con el visto bueno del mismo por parte del la SDS para la liquidación. Que"&amp;"da pendiente el recibido a satisfacción y/o certificación de cumplimiento por parte de la SDS para cerrar la acción.")</f>
        <v> Se revisó informe final del convenio 547714-2018 el cual fue presentado a la SDS, como soporte de cumplimiento.  En el se describe que se dió cumplimiento a todos los puntos relacionados en los hallazgos de la auditoría, como talento humano, vehículos, dotación, equipos de comunicaciones, y actividades programadas.  Este informe fué entregado en octubre de 2019, debido a las dificultades generadas por la pandemia, aún no se cuenta con el visto bueno del mismo por parte del la SDS para la liquidación. Queda pendiente el recibido a satisfacción y/o certificación de cumplimiento por parte de la SDS para cerrar la acción.</v>
      </c>
      <c r="F18" s="0" t="str">
        <f aca="false">IFERROR(__xludf.dummyfunction("""COMPUTED_VALUE"""),"Atrasado")</f>
        <v>Atrasado</v>
      </c>
    </row>
    <row r="19" customFormat="false" ht="14.25" hidden="false" customHeight="false" outlineLevel="0" collapsed="false">
      <c r="A19" s="18" t="str">
        <f aca="false">IFERROR(MID(D19,1,FIND("|",D19)-1)&amp;"-"&amp;C19,"")</f>
        <v>AICI201905-10-1-2</v>
      </c>
      <c r="B19" s="19" t="n">
        <f aca="false">IFERROR(__xludf.dummyfunction("""COMPUTED_VALUE"""),44026)</f>
        <v>44026</v>
      </c>
      <c r="C19" s="0" t="n">
        <f aca="false">IFERROR(__xludf.dummyfunction("""COMPUTED_VALUE"""),2)</f>
        <v>2</v>
      </c>
      <c r="D19" s="0" t="str">
        <f aca="false">IFERROR(__xludf.dummyfunction("""COMPUTED_VALUE"""),"AICI201905-10-1| Solicitar a la SDS el ajuste del perfil ""profesional del area de la salud y/o administrativa de dedicación exclusiva para liderar y desarrollar las actividades de coordinación de la ruta"" en los convenios de ruta, teniendo en cuenta la "&amp;"experiencia relacionada y las actividades de coordinación administrativa y financiera a realizar (01/08/2019 - 10/09/2019)")</f>
        <v>AICI201905-10-1| Solicitar a la SDS el ajuste del perfil "profesional del area de la salud y/o administrativa de dedicación exclusiva para liderar y desarrollar las actividades de coordinación de la ruta" en los convenios de ruta, teniendo en cuenta la experiencia relacionada y las actividades de coordinación administrativa y financiera a realizar (01/08/2019 - 10/09/2019)</v>
      </c>
      <c r="E19" s="0" t="str">
        <f aca="false">IFERROR(__xludf.dummyfunction("""COMPUTED_VALUE"""),"Se verificó convenio 0829 de 2019 suscrito entre el FFDS y la Subred para dar continuidad a la ruta saludable.  Se observa que este convenio realizó el ajuste del perfil de la persona que coordina la ruta, en la clausula 7 numeral 2,1 ""disponer de 1 prof"&amp;"esional del ¨rea de la salud o administrativo de dedicación exclusiva  para liderar y desarrollar las actividades de coordinación  de la Ruta  entre las unidades de servicios de salud de la Subred Integrada de Servicios de Salud Norte y Unidades de otras "&amp;"Subredes.  Se anexa convenio  0829-2019 escaneado")</f>
        <v>Se verificó convenio 0829 de 2019 suscrito entre el FFDS y la Subred para dar continuidad a la ruta saludable.  Se observa que este convenio realizó el ajuste del perfil de la persona que coordina la ruta, en la clausula 7 numeral 2,1 "disponer de 1 profesional del ¨rea de la salud o administrativo de dedicación exclusiva  para liderar y desarrollar las actividades de coordinación  de la Ruta  entre las unidades de servicios de salud de la Subred Integrada de Servicios de Salud Norte y Unidades de otras Subredes.  Se anexa convenio  0829-2019 escaneado</v>
      </c>
      <c r="F19" s="0" t="str">
        <f aca="false">IFERROR(__xludf.dummyfunction("""COMPUTED_VALUE"""),"Completo")</f>
        <v>Completo</v>
      </c>
      <c r="G19" s="20" t="str">
        <f aca="false">IFERROR(__xludf.dummyfunction("""COMPUTED_VALUE"""),"https://drive.google.com/open?id=1ED3KM2oX4-6e8Iers9FbsczjyDW8hAzA")</f>
        <v>https://drive.google.com/open?id=1ED3KM2oX4-6e8Iers9FbsczjyDW8hAzA</v>
      </c>
    </row>
    <row r="20" customFormat="false" ht="14.25" hidden="false" customHeight="false" outlineLevel="0" collapsed="false">
      <c r="A20" s="18" t="str">
        <f aca="false">IFERROR(MID(D20,1,FIND("|",D20)-1)&amp;"-"&amp;C20,"")</f>
        <v>AICI201905-11-1-1</v>
      </c>
      <c r="B20" s="19" t="n">
        <f aca="false">IFERROR(__xludf.dummyfunction("""COMPUTED_VALUE"""),44026)</f>
        <v>44026</v>
      </c>
      <c r="C20" s="0" t="n">
        <f aca="false">IFERROR(__xludf.dummyfunction("""COMPUTED_VALUE"""),1)</f>
        <v>1</v>
      </c>
      <c r="D20" s="0" t="str">
        <f aca="false">IFERROR(__xludf.dummyfunction("""COMPUTED_VALUE"""),"AICI201905-11-1| Continuar con la clasificación y archivo de los documentos y soportes generados en el convenio vigente No. 547714-2018 para entrega a gestion documental. (01/08/2019 - 10/09/2019)")</f>
        <v>AICI201905-11-1| Continuar con la clasificación y archivo de los documentos y soportes generados en el convenio vigente No. 547714-2018 para entrega a gestion documental. (01/08/2019 - 10/09/2019)</v>
      </c>
      <c r="E20" s="0" t="str">
        <f aca="false">IFERROR(__xludf.dummyfunction("""COMPUTED_VALUE""")," No se puede verificar por aislamiento de los responsables")</f>
        <v> No se puede verificar por aislamiento de los responsables</v>
      </c>
      <c r="F20" s="0" t="str">
        <f aca="false">IFERROR(__xludf.dummyfunction("""COMPUTED_VALUE"""),"Atrasado")</f>
        <v>Atrasado</v>
      </c>
    </row>
    <row r="21" customFormat="false" ht="14.25" hidden="false" customHeight="false" outlineLevel="0" collapsed="false">
      <c r="A21" s="18" t="str">
        <f aca="false">IFERROR(MID(D21,1,FIND("|",D21)-1)&amp;"-"&amp;C21,"")</f>
        <v>AICI201905-12-1-2</v>
      </c>
      <c r="B21" s="19" t="n">
        <f aca="false">IFERROR(__xludf.dummyfunction("""COMPUTED_VALUE"""),44026)</f>
        <v>44026</v>
      </c>
      <c r="C21" s="0" t="n">
        <f aca="false">IFERROR(__xludf.dummyfunction("""COMPUTED_VALUE"""),2)</f>
        <v>2</v>
      </c>
      <c r="D21" s="0" t="str">
        <f aca="false">IFERROR(__xludf.dummyfunction("""COMPUTED_VALUE"""),"AICI201905-12-1| Dar cumplimiento a las actividades programadas en la ejecución del convenio de participacion social vigente acorde la ejecución fisica y financiera aprobada y solicitar la aprobación de ajustes a la actividades aclarando en las actas de c"&amp;"omité tecnico de seguimniento, la justificación del ajuste y el solicitante del mismo. (01/08/2019 - 10/09/2019)")</f>
        <v>AICI201905-12-1| Dar cumplimiento a las actividades programadas en la ejecución del convenio de participacion social vigente acorde la ejecución fisica y financiera aprobada y solicitar la aprobación de ajustes a la actividades aclarando en las actas de comité tecnico de seguimniento, la justificación del ajuste y el solicitante del mismo. (01/08/2019 - 10/09/2019)</v>
      </c>
      <c r="E21" s="0" t="str">
        <f aca="false">IFERROR(__xludf.dummyfunction("""COMPUTED_VALUE"""),"No se puede verificar porque la responsable está en aislamiento")</f>
        <v>No se puede verificar porque la responsable está en aislamiento</v>
      </c>
      <c r="F21" s="0" t="str">
        <f aca="false">IFERROR(__xludf.dummyfunction("""COMPUTED_VALUE"""),"Atrasado")</f>
        <v>Atrasado</v>
      </c>
    </row>
    <row r="22" customFormat="false" ht="14.25" hidden="false" customHeight="false" outlineLevel="0" collapsed="false">
      <c r="A22" s="18" t="str">
        <f aca="false">IFERROR(MID(D22,1,FIND("|",D22)-1)&amp;"-"&amp;C22,"")</f>
        <v>AICI201905-11-1-2</v>
      </c>
      <c r="B22" s="19" t="n">
        <f aca="false">IFERROR(__xludf.dummyfunction("""COMPUTED_VALUE"""),44026)</f>
        <v>44026</v>
      </c>
      <c r="C22" s="0" t="n">
        <f aca="false">IFERROR(__xludf.dummyfunction("""COMPUTED_VALUE"""),2)</f>
        <v>2</v>
      </c>
      <c r="D22" s="0" t="str">
        <f aca="false">IFERROR(__xludf.dummyfunction("""COMPUTED_VALUE"""),"AICI201905-11-1| Continuar con la clasificación y archivo de los documentos y soportes generados en el convenio vigente No. 547714-2018 para entrega a gestion documental. (01/08/2019 - 10/09/2019)")</f>
        <v>AICI201905-11-1| Continuar con la clasificación y archivo de los documentos y soportes generados en el convenio vigente No. 547714-2018 para entrega a gestion documental. (01/08/2019 - 10/09/2019)</v>
      </c>
      <c r="E22" s="0" t="str">
        <f aca="false">IFERROR(__xludf.dummyfunction("""COMPUTED_VALUE"""),"no se puede verificar porque la responsable se encuentra en aislamiento por COVID")</f>
        <v>no se puede verificar porque la responsable se encuentra en aislamiento por COVID</v>
      </c>
      <c r="F22" s="0" t="str">
        <f aca="false">IFERROR(__xludf.dummyfunction("""COMPUTED_VALUE"""),"Atrasado")</f>
        <v>Atrasado</v>
      </c>
    </row>
    <row r="23" customFormat="false" ht="14.25" hidden="false" customHeight="false" outlineLevel="0" collapsed="false">
      <c r="A23" s="18" t="str">
        <f aca="false">IFERROR(MID(D23,1,FIND("|",D23)-1)&amp;"-"&amp;C23,"")</f>
        <v>AICI201905-9-1-3</v>
      </c>
      <c r="B23" s="19" t="n">
        <f aca="false">IFERROR(__xludf.dummyfunction("""COMPUTED_VALUE"""),44112)</f>
        <v>44112</v>
      </c>
      <c r="C23" s="0" t="n">
        <f aca="false">IFERROR(__xludf.dummyfunction("""COMPUTED_VALUE"""),3)</f>
        <v>3</v>
      </c>
      <c r="D23" s="0" t="str">
        <f aca="false">IFERROR(__xludf.dummyfunction("""COMPUTED_VALUE"""),"AICI201905-9-1| Dar cumplimiento a las actividades programadas en la ejecución del convenio de la ruta de la salud, incluyendo la contratación del Talento Humano y del parque automotor contratado (revisión y cumplimiento de requisitos estipulados en el co"&amp;"ntrato). (01/08/2019 - 10/09/2019)")</f>
        <v>AICI201905-9-1| Dar cumplimiento a las actividades programadas en la ejecución del convenio de la ruta de la salud, incluyendo la contratación del Talento Humano y del parque automotor contratado (revisión y cumplimiento de requisitos estipulados en el contrato). (01/08/2019 - 10/09/2019)</v>
      </c>
      <c r="E23" s="0" t="str">
        <f aca="false">IFERROR(__xludf.dummyfunction("""COMPUTED_VALUE"""),"Se informa que la Secretaría Distrital de salud no ha entregado la documentación correspondiente para realizar la liquidación del convenio, por lo que no es posible evidenciar si se  aceptó la totalidad de productos presentados en el informe final del con"&amp;"venio.")</f>
        <v>Se informa que la Secretaría Distrital de salud no ha entregado la documentación correspondiente para realizar la liquidación del convenio, por lo que no es posible evidenciar si se  aceptó la totalidad de productos presentados en el informe final del convenio.</v>
      </c>
      <c r="F23" s="0" t="str">
        <f aca="false">IFERROR(__xludf.dummyfunction("""COMPUTED_VALUE"""),"Atrasado")</f>
        <v>Atrasado</v>
      </c>
    </row>
    <row r="24" customFormat="false" ht="14.25" hidden="false" customHeight="false" outlineLevel="0" collapsed="false">
      <c r="A24" s="18" t="str">
        <f aca="false">IFERROR(MID(D24,1,FIND("|",D24)-1)&amp;"-"&amp;C24,"")</f>
        <v>AICI201905-11-1-3</v>
      </c>
      <c r="B24" s="19" t="n">
        <f aca="false">IFERROR(__xludf.dummyfunction("""COMPUTED_VALUE"""),44112)</f>
        <v>44112</v>
      </c>
      <c r="C24" s="0" t="n">
        <f aca="false">IFERROR(__xludf.dummyfunction("""COMPUTED_VALUE"""),3)</f>
        <v>3</v>
      </c>
      <c r="D24" s="0" t="str">
        <f aca="false">IFERROR(__xludf.dummyfunction("""COMPUTED_VALUE"""),"AICI201905-11-1| Continuar con la clasificación y archivo de los documentos y soportes generados en el convenio vigente No. 547714-2018 para entrega a gestion documental. (01/08/2019 - 10/09/2019)")</f>
        <v>AICI201905-11-1| Continuar con la clasificación y archivo de los documentos y soportes generados en el convenio vigente No. 547714-2018 para entrega a gestion documental. (01/08/2019 - 10/09/2019)</v>
      </c>
      <c r="E24" s="0" t="str">
        <f aca="false">IFERROR(__xludf.dummyfunction("""COMPUTED_VALUE"""),"Se verificó el avance de la acción evidenciando que  los responsables de ruta saludable aún no han podido cumplir con el tema de gestión documental")</f>
        <v>Se verificó el avance de la acción evidenciando que  los responsables de ruta saludable aún no han podido cumplir con el tema de gestión documental</v>
      </c>
      <c r="F24" s="0" t="str">
        <f aca="false">IFERROR(__xludf.dummyfunction("""COMPUTED_VALUE"""),"Atrasado")</f>
        <v>Atrasado</v>
      </c>
    </row>
    <row r="25" customFormat="false" ht="14.25" hidden="false" customHeight="false" outlineLevel="0" collapsed="false">
      <c r="A25" s="18" t="str">
        <f aca="false">IFERROR(MID(D25,1,FIND("|",D25)-1)&amp;"-"&amp;C25,"")</f>
        <v>AICI201905-11-1-4</v>
      </c>
      <c r="B25" s="19" t="n">
        <f aca="false">IFERROR(__xludf.dummyfunction("""COMPUTED_VALUE"""),44223)</f>
        <v>44223</v>
      </c>
      <c r="C25" s="0" t="n">
        <f aca="false">IFERROR(__xludf.dummyfunction("""COMPUTED_VALUE"""),4)</f>
        <v>4</v>
      </c>
      <c r="D25" s="0" t="str">
        <f aca="false">IFERROR(__xludf.dummyfunction("""COMPUTED_VALUE"""),"AICI201905-11-1| Continuar con la clasificación y archivo de los documentos y soportes generados en el convenio vigente No. 547714-2018 para entrega a gestion documental. (01/08/2019 - 10/09/2019)")</f>
        <v>AICI201905-11-1| Continuar con la clasificación y archivo de los documentos y soportes generados en el convenio vigente No. 547714-2018 para entrega a gestion documental. (01/08/2019 - 10/09/2019)</v>
      </c>
      <c r="E25" s="0" t="str">
        <f aca="false">IFERROR(__xludf.dummyfunction("""COMPUTED_VALUE"""),"Se revisó el cumplimiento de la acción con la Técnica administrativa de ruta saludable, no se ha podido terminar con toso el proceso de depuración de archivo del convenio de ruta saludable, para cumplir con lo establecido por gestión documental.")</f>
        <v>Se revisó el cumplimiento de la acción con la Técnica administrativa de ruta saludable, no se ha podido terminar con toso el proceso de depuración de archivo del convenio de ruta saludable, para cumplir con lo establecido por gestión documental.</v>
      </c>
      <c r="F25" s="0" t="str">
        <f aca="false">IFERROR(__xludf.dummyfunction("""COMPUTED_VALUE"""),"Atrasado")</f>
        <v>Atrasado</v>
      </c>
    </row>
    <row r="26" customFormat="false" ht="14.25" hidden="false" customHeight="false" outlineLevel="0" collapsed="false">
      <c r="A26" s="18" t="str">
        <f aca="false">IFERROR(MID(D26,1,FIND("|",D26)-1)&amp;"-"&amp;C26,"")</f>
        <v>AICI201905-9-1-4</v>
      </c>
      <c r="B26" s="19" t="n">
        <f aca="false">IFERROR(__xludf.dummyfunction("""COMPUTED_VALUE"""),44223)</f>
        <v>44223</v>
      </c>
      <c r="C26" s="0" t="n">
        <f aca="false">IFERROR(__xludf.dummyfunction("""COMPUTED_VALUE"""),4)</f>
        <v>4</v>
      </c>
      <c r="D26" s="0" t="str">
        <f aca="false">IFERROR(__xludf.dummyfunction("""COMPUTED_VALUE"""),"AICI201905-9-1| Dar cumplimiento a las actividades programadas en la ejecución del convenio de la ruta de la salud, incluyendo la contratación del Talento Humano y del parque automotor contratado (revisión y cumplimiento de requisitos estipulados en el co"&amp;"ntrato). (01/08/2019 - 10/09/2019)")</f>
        <v>AICI201905-9-1| Dar cumplimiento a las actividades programadas en la ejecución del convenio de la ruta de la salud, incluyendo la contratación del Talento Humano y del parque automotor contratado (revisión y cumplimiento de requisitos estipulados en el contrato). (01/08/2019 - 10/09/2019)</v>
      </c>
      <c r="E26" s="0" t="str">
        <f aca="false">IFERROR(__xludf.dummyfunction("""COMPUTED_VALUE"""),"Se observa que la secretaría Distrital de Salud informó que el convenio no se ejecutó en su totalidad y es necesario hacer la devolución de una parte del dinero, para poder hacer la liquidación.
Dado que a través del informe y el acta emitida por la SDS s"&amp;"e hace evidente que no se cumplió con la acción planteada, se comenta la situación con jefe de OCI, quien indica que es necesario replantear la acción para hacer el cierre de la misma y del plan de mejora.  Se formula nueva acción en términos de "" Realiz"&amp;"ar la gestión administrativa para liquidar el convenio  interadministrativo 547714 de 2018 suscrito con la SDS para la ruta saludable"" se deberán presentar soportes a la mayor brevedad para el cierre de la acción.  SE ANEXA ACTA")</f>
        <v>Se observa que la secretaría Distrital de Salud informó que el convenio no se ejecutó en su totalidad y es necesario hacer la devolución de una parte del dinero, para poder hacer la liquidación.
Dado que a través del informe y el acta emitida por la SDS se hace evidente que no se cumplió con la acción planteada, se comenta la situación con jefe de OCI, quien indica que es necesario replantear la acción para hacer el cierre de la misma y del plan de mejora.  Se formula nueva acción en términos de " Realizar la gestión administrativa para liquidar el convenio  interadministrativo 547714 de 2018 suscrito con la SDS para la ruta saludable" se deberán presentar soportes a la mayor brevedad para el cierre de la acción.  SE ANEXA ACTA</v>
      </c>
      <c r="F26" s="0" t="str">
        <f aca="false">IFERROR(__xludf.dummyfunction("""COMPUTED_VALUE"""),"Atrasado")</f>
        <v>Atrasado</v>
      </c>
      <c r="G26" s="20" t="str">
        <f aca="false">IFERROR(__xludf.dummyfunction("""COMPUTED_VALUE"""),"https://drive.google.com/open?id=1KLSSKmGkMbNTQcZJ8eU9S-SH4s0HK-UC")</f>
        <v>https://drive.google.com/open?id=1KLSSKmGkMbNTQcZJ8eU9S-SH4s0HK-UC</v>
      </c>
    </row>
    <row r="27" customFormat="false" ht="14.25" hidden="false" customHeight="false" outlineLevel="0" collapsed="false">
      <c r="A27" s="18" t="str">
        <f aca="false">IFERROR(MID(D27,1,FIND("|",D27)-1)&amp;"-"&amp;C27,"")</f>
        <v>AICI201905-12-1-4</v>
      </c>
      <c r="B27" s="19" t="n">
        <f aca="false">IFERROR(__xludf.dummyfunction("""COMPUTED_VALUE"""),44223)</f>
        <v>44223</v>
      </c>
      <c r="C27" s="0" t="n">
        <f aca="false">IFERROR(__xludf.dummyfunction("""COMPUTED_VALUE"""),4)</f>
        <v>4</v>
      </c>
      <c r="D27" s="0" t="str">
        <f aca="false">IFERROR(__xludf.dummyfunction("""COMPUTED_VALUE"""),"AICI201905-12-1| Dar cumplimiento a las actividades programadas en la ejecución del convenio de participacion social vigente acorde la ejecución fisica y financiera aprobada y solicitar la aprobación de ajustes a la actividades aclarando en las actas de c"&amp;"omité tecnico de seguimniento, la justificación del ajuste y el solicitante del mismo. (01/08/2019 - 10/09/2019)")</f>
        <v>AICI201905-12-1| Dar cumplimiento a las actividades programadas en la ejecución del convenio de participacion social vigente acorde la ejecución fisica y financiera aprobada y solicitar la aprobación de ajustes a la actividades aclarando en las actas de comité tecnico de seguimniento, la justificación del ajuste y el solicitante del mismo. (01/08/2019 - 10/09/2019)</v>
      </c>
      <c r="E27" s="0" t="str">
        <f aca="false">IFERROR(__xludf.dummyfunction("""COMPUTED_VALUE"""),"Se presentó informe final del convenio de participación en el cual se describe que no se pudo cumplir con la totalidad de los productos. Dado que este convenio ya finalizó y no es posible cerrar la acción planteada  se comenta la situación con jefe de OCI"&amp;", quien indica que es necesario replantear la acción para hacer el cierre de la misma y del plan de mejora.  Se formula nueva acción en términos de "" Realizar la gestión administrativa para liquidar el convenio  interadministrativo 645538 de 2018 suscrit"&amp;"o con la SDS  para el tema de participación "" se deberán presentar soportes a la mayor brevedad para el cierre de la acción.  SE ANEXA ACTA")</f>
        <v>Se presentó informe final del convenio de participación en el cual se describe que no se pudo cumplir con la totalidad de los productos. Dado que este convenio ya finalizó y no es posible cerrar la acción planteada  se comenta la situación con jefe de OCI, quien indica que es necesario replantear la acción para hacer el cierre de la misma y del plan de mejora.  Se formula nueva acción en términos de " Realizar la gestión administrativa para liquidar el convenio  interadministrativo 645538 de 2018 suscrito con la SDS  para el tema de participación " se deberán presentar soportes a la mayor brevedad para el cierre de la acción.  SE ANEXA ACTA</v>
      </c>
      <c r="F27" s="0" t="str">
        <f aca="false">IFERROR(__xludf.dummyfunction("""COMPUTED_VALUE"""),"Atrasado")</f>
        <v>Atrasado</v>
      </c>
      <c r="G27" s="20" t="str">
        <f aca="false">IFERROR(__xludf.dummyfunction("""COMPUTED_VALUE"""),"https://drive.google.com/open?id=1S76oKdztnkx6SziAcX-lSz4lR9B2K7gS")</f>
        <v>https://drive.google.com/open?id=1S76oKdztnkx6SziAcX-lSz4lR9B2K7gS</v>
      </c>
    </row>
    <row r="28" customFormat="false" ht="14.25" hidden="false" customHeight="false" outlineLevel="0" collapsed="false">
      <c r="A28" s="18" t="str">
        <f aca="false">IFERROR(MID(D28,1,FIND("|",D28)-1)&amp;"-"&amp;C28,"")</f>
        <v>AICI201905-12-1-3</v>
      </c>
      <c r="B28" s="19" t="n">
        <f aca="false">IFERROR(__xludf.dummyfunction("""COMPUTED_VALUE"""),44112)</f>
        <v>44112</v>
      </c>
      <c r="C28" s="0" t="n">
        <f aca="false">IFERROR(__xludf.dummyfunction("""COMPUTED_VALUE"""),3)</f>
        <v>3</v>
      </c>
      <c r="D28" s="0" t="str">
        <f aca="false">IFERROR(__xludf.dummyfunction("""COMPUTED_VALUE"""),"AICI201905-12-1| Dar cumplimiento a las actividades programadas en la ejecución del convenio de participacion social vigente acorde la ejecución fisica y financiera aprobada y solicitar la aprobación de ajustes a la actividades aclarando en las actas de c"&amp;"omité tecnico de seguimniento, la justificación del ajuste y el solicitante del mismo. (01/08/2019 - 10/09/2019)")</f>
        <v>AICI201905-12-1| Dar cumplimiento a las actividades programadas en la ejecución del convenio de participacion social vigente acorde la ejecución fisica y financiera aprobada y solicitar la aprobación de ajustes a la actividades aclarando en las actas de comité tecnico de seguimniento, la justificación del ajuste y el solicitante del mismo. (01/08/2019 - 10/09/2019)</v>
      </c>
      <c r="E28" s="0" t="str">
        <f aca="false">IFERROR(__xludf.dummyfunction("""COMPUTED_VALUE"""),"La Dra. Fanny Rugeles informa que la  profesional responsable del convenio de participación, no regresó a la subred después de la pandemia y no se ha logrado conseguir  toda la información gestionada por ella, incluyendo los archivos e informes del conven"&amp;"io, por lo cual no se puede cumplir con la acción.")</f>
        <v>La Dra. Fanny Rugeles informa que la  profesional responsable del convenio de participación, no regresó a la subred después de la pandemia y no se ha logrado conseguir  toda la información gestionada por ella, incluyendo los archivos e informes del convenio, por lo cual no se puede cumplir con la acción.</v>
      </c>
      <c r="F28" s="0" t="str">
        <f aca="false">IFERROR(__xludf.dummyfunction("""COMPUTED_VALUE"""),"Atrasado")</f>
        <v>Atrasado</v>
      </c>
    </row>
    <row r="29" customFormat="false" ht="14.25" hidden="false" customHeight="false" outlineLevel="0" collapsed="false">
      <c r="A29" s="18" t="str">
        <f aca="false">IFERROR(MID(D29,1,FIND("|",D29)-1)&amp;"-"&amp;C29,"")</f>
        <v>AICI201905-9-1-5</v>
      </c>
      <c r="B29" s="19" t="n">
        <f aca="false">IFERROR(__xludf.dummyfunction("""COMPUTED_VALUE"""),44323)</f>
        <v>44323</v>
      </c>
      <c r="C29" s="0" t="n">
        <f aca="false">IFERROR(__xludf.dummyfunction("""COMPUTED_VALUE"""),5)</f>
        <v>5</v>
      </c>
      <c r="D29" s="0" t="str">
        <f aca="false">IFERROR(__xludf.dummyfunction("""COMPUTED_VALUE"""),"AICI201905-9-1| Dar cumplimiento a las actividades programadas en la ejecución del convenio de la ruta de la salud, incluyendo la contratación del Talento Humano y del parque automotor contratado (revisión y cumplimiento de requisitos estipulados en el co"&amp;"ntrato). (01/08/2019 - 10/09/2019)")</f>
        <v>AICI201905-9-1| Dar cumplimiento a las actividades programadas en la ejecución del convenio de la ruta de la salud, incluyendo la contratación del Talento Humano y del parque automotor contratado (revisión y cumplimiento de requisitos estipulados en el contrato). (01/08/2019 - 10/09/2019)</v>
      </c>
      <c r="E29" s="0" t="str">
        <f aca="false">IFERROR(__xludf.dummyfunction("""COMPUTED_VALUE"""),"Desde seguimiento anterior se formuló nueva acción en términos de realizar la gestión administrativa para liquidar el convenio No 547714 de 2018.suscrito con la SDS para la ruta de la salud. a. El 30 de diciembre de 2020 se realizó reunión de seguimiento "&amp;"y cierre del convenio (Anexo acta). Teniendo en cuenta que los recursos suministrados por parte del SDS fueron $1.474.324.954 y la ejecución del convenio  confirmó la ejecución del 94% por valor de $1.384.977.034 con una diferencia de $89.347.920, recurso"&amp;"s que se debieron reintegrar por parte de la Subred Norte a la SDS. b. El 07 de enero de 2021, este giro se realizó por parte de la Subred Norte, (se anexa comprobante de pago el cual se realizó en dos pagos). d. A la fecha el área de contratación de la S"&amp;"DS se encuentra en la elaboración del acta de liquidación, la solicitud de este trámite fue realizada por la Dirección de Análisis de Entidades Públicas Distritales del Sector Salud, con radicado 2021IE8034 del 23/03/2021, sin tener respuesta a la fecha.")</f>
        <v>Desde seguimiento anterior se formuló nueva acción en términos de realizar la gestión administrativa para liquidar el convenio No 547714 de 2018.suscrito con la SDS para la ruta de la salud. a. El 30 de diciembre de 2020 se realizó reunión de seguimiento y cierre del convenio (Anexo acta). Teniendo en cuenta que los recursos suministrados por parte del SDS fueron $1.474.324.954 y la ejecución del convenio  confirmó la ejecución del 94% por valor de $1.384.977.034 con una diferencia de $89.347.920, recursos que se debieron reintegrar por parte de la Subred Norte a la SDS. b. El 07 de enero de 2021, este giro se realizó por parte de la Subred Norte, (se anexa comprobante de pago el cual se realizó en dos pagos). d. A la fecha el área de contratación de la SDS se encuentra en la elaboración del acta de liquidación, la solicitud de este trámite fue realizada por la Dirección de Análisis de Entidades Públicas Distritales del Sector Salud, con radicado 2021IE8034 del 23/03/2021, sin tener respuesta a la fecha.</v>
      </c>
      <c r="F29" s="0" t="str">
        <f aca="false">IFERROR(__xludf.dummyfunction("""COMPUTED_VALUE"""),"Atrasado")</f>
        <v>Atrasado</v>
      </c>
      <c r="G29" s="0" t="str">
        <f aca="false">IFERROR(__xludf.dummyfunction("""COMPUTED_VALUE"""),"https://drive.google.com/open?id=1MBofwhDrhLq60qw7Y1rqkdPH7Exc2J44, https://drive.google.com/open?id=15zpMRmzH5rXQ5C8vEu-C4oBAnN8BHFiq, https://drive.google.com/open?id=1CLv6EF-v1k30C1aVn_jmqXziOc_nvOiz, https://drive.google.com/open?id=1NBiC9U-yJqbxNTELF"&amp;"yIQYv9a-2kOQ8u7")</f>
        <v>https://drive.google.com/open?id=1MBofwhDrhLq60qw7Y1rqkdPH7Exc2J44, https://drive.google.com/open?id=15zpMRmzH5rXQ5C8vEu-C4oBAnN8BHFiq, https://drive.google.com/open?id=1CLv6EF-v1k30C1aVn_jmqXziOc_nvOiz, https://drive.google.com/open?id=1NBiC9U-yJqbxNTELFyIQYv9a-2kOQ8u7</v>
      </c>
    </row>
    <row r="30" customFormat="false" ht="14.25" hidden="false" customHeight="false" outlineLevel="0" collapsed="false">
      <c r="A30" s="18" t="str">
        <f aca="false">IFERROR(MID(D30,1,FIND("|",D30)-1)&amp;"-"&amp;C30,"")</f>
        <v>AICI201905-11-1-5</v>
      </c>
      <c r="B30" s="19" t="n">
        <f aca="false">IFERROR(__xludf.dummyfunction("""COMPUTED_VALUE"""),44323)</f>
        <v>44323</v>
      </c>
      <c r="C30" s="0" t="n">
        <f aca="false">IFERROR(__xludf.dummyfunction("""COMPUTED_VALUE"""),5)</f>
        <v>5</v>
      </c>
      <c r="D30" s="0" t="str">
        <f aca="false">IFERROR(__xludf.dummyfunction("""COMPUTED_VALUE"""),"AICI201905-11-1| Continuar con la clasificación y archivo de los documentos y soportes generados en el convenio vigente No. 547714-2018 para entrega a gestion documental. (01/08/2019 - 10/09/2019)")</f>
        <v>AICI201905-11-1| Continuar con la clasificación y archivo de los documentos y soportes generados en el convenio vigente No. 547714-2018 para entrega a gestion documental. (01/08/2019 - 10/09/2019)</v>
      </c>
      <c r="E30" s="0" t="str">
        <f aca="false">IFERROR(__xludf.dummyfunction("""COMPUTED_VALUE"""),"Se verificó la aplicación del procedimiento de gestión documental y la tabla de retención a la documentación relacionada con el convenio de ruta de la salud, se verificaron carpetas foliadas y formatos de entrega de documentación a gestión documental. por"&amp;" lo tanto se cumplió con la acción ")</f>
        <v>Se verificó la aplicación del procedimiento de gestión documental y la tabla de retención a la documentación relacionada con el convenio de ruta de la salud, se verificaron carpetas foliadas y formatos de entrega de documentación a gestión documental. por lo tanto se cumplió con la acción </v>
      </c>
      <c r="F30" s="0" t="str">
        <f aca="false">IFERROR(__xludf.dummyfunction("""COMPUTED_VALUE"""),"Completo")</f>
        <v>Completo</v>
      </c>
    </row>
    <row r="31" customFormat="false" ht="14.25" hidden="false" customHeight="false" outlineLevel="0" collapsed="false">
      <c r="A31" s="18" t="str">
        <f aca="false">IFERROR(MID(D31,1,FIND("|",D31)-1)&amp;"-"&amp;C31,"")</f>
        <v>AICI201905-12-1-5</v>
      </c>
      <c r="B31" s="19" t="n">
        <f aca="false">IFERROR(__xludf.dummyfunction("""COMPUTED_VALUE"""),44323)</f>
        <v>44323</v>
      </c>
      <c r="C31" s="0" t="n">
        <f aca="false">IFERROR(__xludf.dummyfunction("""COMPUTED_VALUE"""),5)</f>
        <v>5</v>
      </c>
      <c r="D31" s="0" t="str">
        <f aca="false">IFERROR(__xludf.dummyfunction("""COMPUTED_VALUE"""),"AICI201905-12-1| Dar cumplimiento a las actividades programadas en la ejecución del convenio de participacion social vigente acorde la ejecución fisica y financiera aprobada y solicitar la aprobación de ajustes a la actividades aclarando en las actas de c"&amp;"omité tecnico de seguimniento, la justificación del ajuste y el solicitante del mismo. (01/08/2019 - 10/09/2019)")</f>
        <v>AICI201905-12-1| Dar cumplimiento a las actividades programadas en la ejecución del convenio de participacion social vigente acorde la ejecución fisica y financiera aprobada y solicitar la aprobación de ajustes a la actividades aclarando en las actas de comité tecnico de seguimniento, la justificación del ajuste y el solicitante del mismo. (01/08/2019 - 10/09/2019)</v>
      </c>
      <c r="E31" s="0" t="str">
        <f aca="false">IFERROR(__xludf.dummyfunction("""COMPUTED_VALUE""")," Se adjunta acta de liquidación debidamente legalizada con fecha del 20 de
septiembre de 2020 (Anexo acta). Por lo tanto se cumplió con la acción")</f>
        <v> Se adjunta acta de liquidación debidamente legalizada con fecha del 20 de
septiembre de 2020 (Anexo acta). Por lo tanto se cumplió con la acción</v>
      </c>
      <c r="F31" s="0" t="str">
        <f aca="false">IFERROR(__xludf.dummyfunction("""COMPUTED_VALUE"""),"Completo")</f>
        <v>Completo</v>
      </c>
      <c r="G31" s="20" t="str">
        <f aca="false">IFERROR(__xludf.dummyfunction("""COMPUTED_VALUE"""),"https://drive.google.com/open?id=1-nPx2d4Oqh9Bt5sDN6h0v2PgDITYn5Hk")</f>
        <v>https://drive.google.com/open?id=1-nPx2d4Oqh9Bt5sDN6h0v2PgDITYn5Hk</v>
      </c>
    </row>
    <row r="32" customFormat="false" ht="14.25" hidden="false" customHeight="false" outlineLevel="0" collapsed="false">
      <c r="A32" s="18" t="str">
        <f aca="false">IFERROR(MID(D32,1,FIND("|",D32)-1)&amp;"-"&amp;C32,"")</f>
        <v>AICI201905-9-1-6</v>
      </c>
      <c r="B32" s="19" t="n">
        <f aca="false">IFERROR(__xludf.dummyfunction("""COMPUTED_VALUE"""),44399)</f>
        <v>44399</v>
      </c>
      <c r="C32" s="0" t="n">
        <f aca="false">IFERROR(__xludf.dummyfunction("""COMPUTED_VALUE"""),6)</f>
        <v>6</v>
      </c>
      <c r="D32" s="0" t="str">
        <f aca="false">IFERROR(__xludf.dummyfunction("""COMPUTED_VALUE"""),"AICI201905-9-1| Dar cumplimiento a las actividades programadas en la ejecución del convenio de la ruta de la salud, incluyendo la contratación del Talento Humano y del parque automotor contratado (revisión y cumplimiento de requisitos estipulados en el co"&amp;"ntrato). (01/08/2019 - 10/09/2019)")</f>
        <v>AICI201905-9-1| Dar cumplimiento a las actividades programadas en la ejecución del convenio de la ruta de la salud, incluyendo la contratación del Talento Humano y del parque automotor contratado (revisión y cumplimiento de requisitos estipulados en el contrato). (01/08/2019 - 10/09/2019)</v>
      </c>
      <c r="E32" s="0" t="str">
        <f aca="false">IFERROR(__xludf.dummyfunction("""COMPUTED_VALUE"""),"Se entregó soporte de liquidación del convenio 547714 de 2018 de ruta saludable suscrito con el FFDS-SDS en el cual se refiere que la Subred hizo un devolución de $89.347.920 por actividades que no pudieron ser cumplidas.  A parte de lo anterior la Secret"&amp;"aría Distrital de salud da Recibo a satisfacción de bienes, obras o servicios y  declara la Subred a Paz y Salvo.  Se anexa soporte de acta de liquidación.")</f>
        <v>Se entregó soporte de liquidación del convenio 547714 de 2018 de ruta saludable suscrito con el FFDS-SDS en el cual se refiere que la Subred hizo un devolución de $89.347.920 por actividades que no pudieron ser cumplidas.  A parte de lo anterior la Secretaría Distrital de salud da Recibo a satisfacción de bienes, obras o servicios y  declara la Subred a Paz y Salvo.  Se anexa soporte de acta de liquidación.</v>
      </c>
      <c r="F32" s="0" t="str">
        <f aca="false">IFERROR(__xludf.dummyfunction("""COMPUTED_VALUE"""),"Completo")</f>
        <v>Completo</v>
      </c>
    </row>
    <row r="33" customFormat="false" ht="14.25" hidden="false" customHeight="false" outlineLevel="0" collapsed="false">
      <c r="A33" s="18" t="str">
        <f aca="false">IFERROR(MID(D33,1,FIND("|",D33)-1)&amp;"-"&amp;C33,"")</f>
        <v>AICI201905-9-1-7</v>
      </c>
      <c r="B33" s="19" t="n">
        <f aca="false">IFERROR(__xludf.dummyfunction("""COMPUTED_VALUE"""),44523)</f>
        <v>44523</v>
      </c>
      <c r="C33" s="0" t="n">
        <f aca="false">IFERROR(__xludf.dummyfunction("""COMPUTED_VALUE"""),7)</f>
        <v>7</v>
      </c>
      <c r="D33" s="0" t="str">
        <f aca="false">IFERROR(__xludf.dummyfunction("""COMPUTED_VALUE"""),"AICI201905-9-1| Dar cumplimiento a las actividades programadas en la ejecución del convenio de la ruta de la salud, incluyendo la contratación del Talento Humano y del parque automotor contratado (revisión y cumplimiento de requisitos estipulados en el co"&amp;"ntrato). (01/08/2019 - 10/09/2019)")</f>
        <v>AICI201905-9-1| Dar cumplimiento a las actividades programadas en la ejecución del convenio de la ruta de la salud, incluyendo la contratación del Talento Humano y del parque automotor contratado (revisión y cumplimiento de requisitos estipulados en el contrato). (01/08/2019 - 10/09/2019)</v>
      </c>
      <c r="E33" s="0" t="str">
        <f aca="false">IFERROR(__xludf.dummyfunction("""COMPUTED_VALUE"""),"El referente de Ruta de la salud informa que aún no han expedido el acta de liquidación de convenio 547714 de 2014 de la Secretaria Distrital de Salud")</f>
        <v>El referente de Ruta de la salud informa que aún no han expedido el acta de liquidación de convenio 547714 de 2014 de la Secretaria Distrital de Salud</v>
      </c>
      <c r="F33" s="0" t="str">
        <f aca="false">IFERROR(__xludf.dummyfunction("""COMPUTED_VALUE"""),"Atrasado")</f>
        <v>Atrasado</v>
      </c>
    </row>
    <row r="34" customFormat="false" ht="14.25" hidden="false" customHeight="false" outlineLevel="0" collapsed="false">
      <c r="A34" s="18" t="str">
        <f aca="false">IFERROR(MID(D34,1,FIND("|",D34)-1)&amp;"-"&amp;C34,"")</f>
        <v>AICI201905-9-1-8</v>
      </c>
      <c r="B34" s="19" t="n">
        <f aca="false">IFERROR(__xludf.dummyfunction("""COMPUTED_VALUE"""),44547)</f>
        <v>44547</v>
      </c>
      <c r="C34" s="0" t="n">
        <f aca="false">IFERROR(__xludf.dummyfunction("""COMPUTED_VALUE"""),8)</f>
        <v>8</v>
      </c>
      <c r="D34" s="0" t="str">
        <f aca="false">IFERROR(__xludf.dummyfunction("""COMPUTED_VALUE"""),"AICI201905-9-1| Dar cumplimiento a las actividades programadas en la ejecución del convenio de la ruta de la salud, incluyendo la contratación del Talento Humano y del parque automotor contratado (revisión y cumplimiento de requisitos estipulados en el co"&amp;"ntrato). (01/08/2019 - 10/09/2019)")</f>
        <v>AICI201905-9-1| Dar cumplimiento a las actividades programadas en la ejecución del convenio de la ruta de la salud, incluyendo la contratación del Talento Humano y del parque automotor contratado (revisión y cumplimiento de requisitos estipulados en el contrato). (01/08/2019 - 10/09/2019)</v>
      </c>
      <c r="E34" s="0" t="str">
        <f aca="false">IFERROR(__xludf.dummyfunction("""COMPUTED_VALUE"""),"Se entregó soporte de liquidación del convenio 547714 de 2018 de ruta saludable suscrito con el FFDS-SDS en el cual se refiere que la Subred hizo un devolución de $89.347.920 por actividades que no pudieron ser cumplidas.  A parte de lo anterior la Secret"&amp;"aría Distrital de salud da Recibo a satisfacción de bienes, obras o servicios y  declara la Subred a Paz y Salvo.  Se anexa soporte de acta de liquidación.")</f>
        <v>Se entregó soporte de liquidación del convenio 547714 de 2018 de ruta saludable suscrito con el FFDS-SDS en el cual se refiere que la Subred hizo un devolución de $89.347.920 por actividades que no pudieron ser cumplidas.  A parte de lo anterior la Secretaría Distrital de salud da Recibo a satisfacción de bienes, obras o servicios y  declara la Subred a Paz y Salvo.  Se anexa soporte de acta de liquidación.</v>
      </c>
      <c r="F34" s="0" t="str">
        <f aca="false">IFERROR(__xludf.dummyfunction("""COMPUTED_VALUE"""),"Completo")</f>
        <v>Completo</v>
      </c>
      <c r="G34" s="20" t="str">
        <f aca="false">IFERROR(__xludf.dummyfunction("""COMPUTED_VALUE"""),"https://drive.google.com/open?id=1s0b9D1NmA_8qQlYZaCFF69f9wMS-fK5H")</f>
        <v>https://drive.google.com/open?id=1s0b9D1NmA_8qQlYZaCFF69f9wMS-fK5H</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row r="1000" customFormat="false" ht="14.25" hidden="false" customHeight="false" outlineLevel="0" collapsed="false">
      <c r="A1000" s="18" t="str">
        <f aca="false">IFERROR(MID(D1000,1,FIND("|",D1000)-1)&amp;"-"&amp;C1000,"")</f>
        <v/>
      </c>
    </row>
  </sheetData>
  <hyperlinks>
    <hyperlink ref="G5" r:id="rId1" display="https://drive.google.com/open?id=1d4nOJn9abO4aCEVV0OKkqlS_DPoxhPI1"/>
    <hyperlink ref="G7" r:id="rId2" display="https://drive.google.com/open?id=11VeXCXkEi8kqO1MtQnPzzI8LcPV9VMqp"/>
    <hyperlink ref="G8" r:id="rId3" display="https://drive.google.com/open?id=1o7cfDiLiF6AIDiSEVbRRpWHJyVfsjrVH"/>
    <hyperlink ref="G11" r:id="rId4" display="https://drive.google.com/open?id=1dserzHWyhPHkS5Uz5tMhDkksrZpEckp5"/>
    <hyperlink ref="G17" r:id="rId5" display="https://drive.google.com/open?id=1rm7xpIRz8w39YLXJXDPAdfmqqacF8JLW"/>
    <hyperlink ref="G19" r:id="rId6" display="https://drive.google.com/open?id=1ED3KM2oX4-6e8Iers9FbsczjyDW8hAzA"/>
    <hyperlink ref="G26" r:id="rId7" display="https://drive.google.com/open?id=1KLSSKmGkMbNTQcZJ8eU9S-SH4s0HK-UC"/>
    <hyperlink ref="G27" r:id="rId8" display="https://drive.google.com/open?id=1S76oKdztnkx6SziAcX-lSz4lR9B2K7gS"/>
    <hyperlink ref="G31" r:id="rId9" display="https://drive.google.com/open?id=1-nPx2d4Oqh9Bt5sDN6h0v2PgDITYn5Hk"/>
    <hyperlink ref="G34" r:id="rId10" display="https://drive.google.com/open?id=1s0b9D1NmA_8qQlYZaCFF69f9wMS-fK5H"/>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sheetData>
    <row r="1" customFormat="false" ht="12.75" hidden="false" customHeight="false" outlineLevel="0" collapsed="false">
      <c r="A1" s="13" t="s">
        <v>1847</v>
      </c>
      <c r="B1" s="13" t="s">
        <v>1779</v>
      </c>
      <c r="C1" s="13" t="s">
        <v>1780</v>
      </c>
      <c r="D1" s="13" t="s">
        <v>1781</v>
      </c>
      <c r="E1" s="13" t="s">
        <v>1782</v>
      </c>
      <c r="F1" s="13" t="s">
        <v>1783</v>
      </c>
      <c r="G1" s="13" t="s">
        <v>1784</v>
      </c>
    </row>
    <row r="2" customFormat="false" ht="9.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AICI201906-1-1-1</v>
      </c>
      <c r="B4" s="19" t="n">
        <f aca="false">IFERROR(__xludf.dummyfunction("""COMPUTED_VALUE"""),43924)</f>
        <v>43924</v>
      </c>
      <c r="C4" s="0" t="n">
        <f aca="false">IFERROR(__xludf.dummyfunction("""COMPUTED_VALUE"""),1)</f>
        <v>1</v>
      </c>
      <c r="D4" s="0" t="str">
        <f aca="false">IFERROR(__xludf.dummyfunction("""COMPUTED_VALUE"""),"AICI201906-1-1| Oficiar a la Dirección de Talento Humano de la entidad, a efectos de gestionar la actualización y/o modificación de las funciones del Jefe de la Oficina Asesora Jurídica. (30/09/2019 - 31/12/2019)")</f>
        <v>AICI201906-1-1| Oficiar a la Dirección de Talento Humano de la entidad, a efectos de gestionar la actualización y/o modificación de las funciones del Jefe de la Oficina Asesora Jurídica. (30/09/2019 - 31/12/2019)</v>
      </c>
      <c r="E4" s="0" t="str">
        <f aca="false">IFERROR(__xludf.dummyfunction("""COMPUTED_VALUE"""),"la Oficina asesora Jurídica ,en coordinación con la Dirección de Talento Humano realizó las gestiones pertinente ante el Departamento Administrativo del Servicio Civil y la Junta Directiva de la institución, logrando la modificación solicitada.")</f>
        <v>la Oficina asesora Jurídica ,en coordinación con la Dirección de Talento Humano realizó las gestiones pertinente ante el Departamento Administrativo del Servicio Civil y la Junta Directiva de la institución, logrando la modificación solicitada.</v>
      </c>
      <c r="F4" s="0" t="str">
        <f aca="false">IFERROR(__xludf.dummyfunction("""COMPUTED_VALUE"""),"Completo")</f>
        <v>Completo</v>
      </c>
    </row>
    <row r="5" customFormat="false" ht="14.25" hidden="false" customHeight="false" outlineLevel="0" collapsed="false">
      <c r="A5" s="18" t="str">
        <f aca="false">IFERROR(MID(D5,1,FIND("|",D5)-1)&amp;"-"&amp;C5,"")</f>
        <v>AICI201906-2-1-1</v>
      </c>
      <c r="B5" s="19" t="n">
        <f aca="false">IFERROR(__xludf.dummyfunction("""COMPUTED_VALUE"""),43924)</f>
        <v>43924</v>
      </c>
      <c r="C5" s="0" t="n">
        <f aca="false">IFERROR(__xludf.dummyfunction("""COMPUTED_VALUE"""),1)</f>
        <v>1</v>
      </c>
      <c r="D5" s="0" t="str">
        <f aca="false">IFERROR(__xludf.dummyfunction("""COMPUTED_VALUE"""),"AICI201906-2-1| Promover la corrección de los expedientes judiciales que administra la Oficina Asesora Jurídica, así como el reporte de los mismos en la plataforma SIPROJ-WED de la Alcaldía Mayor de Bogotá. (30/09/2019 - 31/12/2019)")</f>
        <v>AICI201906-2-1| Promover la corrección de los expedientes judiciales que administra la Oficina Asesora Jurídica, así como el reporte de los mismos en la plataforma SIPROJ-WED de la Alcaldía Mayor de Bogotá. (30/09/2019 - 31/12/2019)</v>
      </c>
      <c r="E5" s="0" t="str">
        <f aca="false">IFERROR(__xludf.dummyfunction("""COMPUTED_VALUE"""),"La oficina asesora Jurídica de la Subred Norte,  ejecutó una jornada para la corrección y complementación de los expedientes judiciales físicos y electrónicos de la entidad, y se incluyeron en la plataforma  SIPROJ WEB.")</f>
        <v>La oficina asesora Jurídica de la Subred Norte,  ejecutó una jornada para la corrección y complementación de los expedientes judiciales físicos y electrónicos de la entidad, y se incluyeron en la plataforma  SIPROJ WEB.</v>
      </c>
      <c r="F5" s="0" t="str">
        <f aca="false">IFERROR(__xludf.dummyfunction("""COMPUTED_VALUE"""),"Completo")</f>
        <v>Completo</v>
      </c>
    </row>
    <row r="6" customFormat="false" ht="14.25" hidden="false" customHeight="false" outlineLevel="0" collapsed="false">
      <c r="A6" s="18" t="str">
        <f aca="false">IFERROR(MID(D6,1,FIND("|",D6)-1)&amp;"-"&amp;C6,"")</f>
        <v>AICI201906-3-1-1</v>
      </c>
      <c r="B6" s="19" t="n">
        <f aca="false">IFERROR(__xludf.dummyfunction("""COMPUTED_VALUE"""),43924)</f>
        <v>43924</v>
      </c>
      <c r="C6" s="0" t="n">
        <f aca="false">IFERROR(__xludf.dummyfunction("""COMPUTED_VALUE"""),1)</f>
        <v>1</v>
      </c>
      <c r="D6" s="0" t="str">
        <f aca="false">IFERROR(__xludf.dummyfunction("""COMPUTED_VALUE"""),"AICI201906-3-1| Coordinar la depuración del sistema SIPROJ-WEB, con la finalidad excluir los procesos judiciales terminados a la fecha, que permita calificar trimestralmente el 100% del contingente judicial (30/09/2019 - 31/12/2019)")</f>
        <v>AICI201906-3-1| Coordinar la depuración del sistema SIPROJ-WEB, con la finalidad excluir los procesos judiciales terminados a la fecha, que permita calificar trimestralmente el 100% del contingente judicial (30/09/2019 - 31/12/2019)</v>
      </c>
      <c r="E6" s="0" t="str">
        <f aca="false">IFERROR(__xludf.dummyfunction("""COMPUTED_VALUE"""),"Se realizó depuración de la plataforma SIPROJ WEB, así como el seguimiento trimestral al cuerpo de abogados sobre la calificación trimestral del contingente judicial. ")</f>
        <v>Se realizó depuración de la plataforma SIPROJ WEB, así como el seguimiento trimestral al cuerpo de abogados sobre la calificación trimestral del contingente judicial. </v>
      </c>
      <c r="F6" s="0" t="str">
        <f aca="false">IFERROR(__xludf.dummyfunction("""COMPUTED_VALUE"""),"Completo")</f>
        <v>Completo</v>
      </c>
      <c r="G6" s="20" t="str">
        <f aca="false">IFERROR(__xludf.dummyfunction("""COMPUTED_VALUE"""),"https://drive.google.com/open?id=19s76FJO8uCvAt9BeYAV3dx8BHwzCBOdU")</f>
        <v>https://drive.google.com/open?id=19s76FJO8uCvAt9BeYAV3dx8BHwzCBOdU</v>
      </c>
    </row>
    <row r="7" customFormat="false" ht="14.25" hidden="false" customHeight="false" outlineLevel="0" collapsed="false">
      <c r="A7" s="18" t="str">
        <f aca="false">IFERROR(MID(D7,1,FIND("|",D7)-1)&amp;"-"&amp;C7,"")</f>
        <v>AICI201906-3-2-1</v>
      </c>
      <c r="B7" s="19" t="n">
        <f aca="false">IFERROR(__xludf.dummyfunction("""COMPUTED_VALUE"""),43924)</f>
        <v>43924</v>
      </c>
      <c r="C7" s="0" t="n">
        <f aca="false">IFERROR(__xludf.dummyfunction("""COMPUTED_VALUE"""),1)</f>
        <v>1</v>
      </c>
      <c r="D7" s="0" t="str">
        <f aca="false">IFERROR(__xludf.dummyfunction("""COMPUTED_VALUE"""),"AICI201906-3-2| Realizar un seguimiento trimestral al cuerpo de abogados externos de la Oficina Asesora Jurídica sobre la calificación trimestral del contingente judicial. (30/09/2019 - 31/12/2019)")</f>
        <v>AICI201906-3-2| Realizar un seguimiento trimestral al cuerpo de abogados externos de la Oficina Asesora Jurídica sobre la calificación trimestral del contingente judicial. (30/09/2019 - 31/12/2019)</v>
      </c>
      <c r="E7" s="0" t="str">
        <f aca="false">IFERROR(__xludf.dummyfunction("""COMPUTED_VALUE"""),"Se realizó depuración de la plataforma SIPROJ WEB, así como el seguimiento trimestral al cuerpo de abogados sobre la calificación trimestral del contingente judicial. ")</f>
        <v>Se realizó depuración de la plataforma SIPROJ WEB, así como el seguimiento trimestral al cuerpo de abogados sobre la calificación trimestral del contingente judicial. </v>
      </c>
      <c r="F7" s="0" t="str">
        <f aca="false">IFERROR(__xludf.dummyfunction("""COMPUTED_VALUE"""),"Completo")</f>
        <v>Completo</v>
      </c>
      <c r="G7" s="20" t="str">
        <f aca="false">IFERROR(__xludf.dummyfunction("""COMPUTED_VALUE"""),"https://drive.google.com/open?id=1G7phH4xBi_ZD2xdSYK4lE7OpfqlHYBph")</f>
        <v>https://drive.google.com/open?id=1G7phH4xBi_ZD2xdSYK4lE7OpfqlHYBph</v>
      </c>
    </row>
    <row r="8" customFormat="false" ht="14.25" hidden="false" customHeight="false" outlineLevel="0" collapsed="false">
      <c r="A8" s="18" t="str">
        <f aca="false">IFERROR(MID(D8,1,FIND("|",D8)-1)&amp;"-"&amp;C8,"")</f>
        <v>AICI201906-4-1-1</v>
      </c>
      <c r="B8" s="19" t="n">
        <f aca="false">IFERROR(__xludf.dummyfunction("""COMPUTED_VALUE"""),43924)</f>
        <v>43924</v>
      </c>
      <c r="C8" s="0" t="n">
        <f aca="false">IFERROR(__xludf.dummyfunction("""COMPUTED_VALUE"""),1)</f>
        <v>1</v>
      </c>
      <c r="D8" s="0" t="str">
        <f aca="false">IFERROR(__xludf.dummyfunction("""COMPUTED_VALUE"""),"AICI201906-4-1| Gestionar la radicación de los procesos judiciales que administra la Oficina Asesora Jurídica en la plataforma SIPROJ-WEB, y la incorporación de las piezas procesales de mayor relevancia. (30/09/2019 - 31/12/2019)")</f>
        <v>AICI201906-4-1| Gestionar la radicación de los procesos judiciales que administra la Oficina Asesora Jurídica en la plataforma SIPROJ-WEB, y la incorporación de las piezas procesales de mayor relevancia. (30/09/2019 - 31/12/2019)</v>
      </c>
      <c r="E8" s="0" t="str">
        <f aca="false">IFERROR(__xludf.dummyfunction("""COMPUTED_VALUE"""),"la Oficina Asesora Jurídica de la Subred Norte ESE, ,  ejecutó una jornada para la corrección y complementación de los expedientes judiciales físicos y electrónicos de la entidad, y se incluyeron en la plataforma SIPROJ WEB.")</f>
        <v>la Oficina Asesora Jurídica de la Subred Norte ESE, ,  ejecutó una jornada para la corrección y complementación de los expedientes judiciales físicos y electrónicos de la entidad, y se incluyeron en la plataforma SIPROJ WEB.</v>
      </c>
      <c r="F8" s="0" t="str">
        <f aca="false">IFERROR(__xludf.dummyfunction("""COMPUTED_VALUE"""),"Completo")</f>
        <v>Completo</v>
      </c>
    </row>
    <row r="9" customFormat="false" ht="14.25" hidden="false" customHeight="false" outlineLevel="0" collapsed="false">
      <c r="A9" s="18" t="str">
        <f aca="false">IFERROR(MID(D9,1,FIND("|",D9)-1)&amp;"-"&amp;C9,"")</f>
        <v>AICI201906-5-1-1</v>
      </c>
      <c r="B9" s="19" t="n">
        <f aca="false">IFERROR(__xludf.dummyfunction("""COMPUTED_VALUE"""),43924)</f>
        <v>43924</v>
      </c>
      <c r="C9" s="0" t="n">
        <f aca="false">IFERROR(__xludf.dummyfunction("""COMPUTED_VALUE"""),1)</f>
        <v>1</v>
      </c>
      <c r="D9" s="0" t="str">
        <f aca="false">IFERROR(__xludf.dummyfunction("""COMPUTED_VALUE"""),"AICI201906-5-1| Realizar un ejercicio práctico de diligenciamiento de las fichas de casos que se presentan al Comité de Conciliación, con el total del cuerpo de abogados que ejercen la defensa judicial de la institución. (30/09/2019 - 31/12/2019)")</f>
        <v>AICI201906-5-1| Realizar un ejercicio práctico de diligenciamiento de las fichas de casos que se presentan al Comité de Conciliación, con el total del cuerpo de abogados que ejercen la defensa judicial de la institución. (30/09/2019 - 31/12/2019)</v>
      </c>
      <c r="E9" s="0" t="str">
        <f aca="false">IFERROR(__xludf.dummyfunction("""COMPUTED_VALUE"""),"La oficina asesora jurídica , promovió ejercicios prácticos respecto de la formulación de fichas de conciliación, con la finalidad de incluir los requisitos esenciales de identificación del convocante y las circunstancias fácticas que rodean la solicitud.")</f>
        <v>La oficina asesora jurídica , promovió ejercicios prácticos respecto de la formulación de fichas de conciliación, con la finalidad de incluir los requisitos esenciales de identificación del convocante y las circunstancias fácticas que rodean la solicitud.</v>
      </c>
      <c r="F9" s="0" t="str">
        <f aca="false">IFERROR(__xludf.dummyfunction("""COMPUTED_VALUE"""),"Completo")</f>
        <v>Completo</v>
      </c>
    </row>
    <row r="10" customFormat="false" ht="14.25" hidden="false" customHeight="false" outlineLevel="0" collapsed="false">
      <c r="A10" s="18" t="str">
        <f aca="false">IFERROR(MID(D10,1,FIND("|",D10)-1)&amp;"-"&amp;C10,"")</f>
        <v/>
      </c>
    </row>
    <row r="11" customFormat="false" ht="14.25" hidden="false" customHeight="false" outlineLevel="0" collapsed="false">
      <c r="A11" s="18" t="str">
        <f aca="false">IFERROR(MID(D11,1,FIND("|",D11)-1)&amp;"-"&amp;C11,"")</f>
        <v/>
      </c>
    </row>
    <row r="12" customFormat="false" ht="14.25" hidden="false" customHeight="false" outlineLevel="0" collapsed="false">
      <c r="A12" s="18" t="str">
        <f aca="false">IFERROR(MID(D12,1,FIND("|",D12)-1)&amp;"-"&amp;C12,"")</f>
        <v/>
      </c>
    </row>
    <row r="13" customFormat="false" ht="14.25" hidden="false" customHeight="false" outlineLevel="0" collapsed="false">
      <c r="A13" s="18" t="str">
        <f aca="false">IFERROR(MID(D13,1,FIND("|",D13)-1)&amp;"-"&amp;C13,"")</f>
        <v/>
      </c>
    </row>
    <row r="14" customFormat="false" ht="14.25" hidden="false" customHeight="false" outlineLevel="0" collapsed="false">
      <c r="A14" s="18" t="str">
        <f aca="false">IFERROR(MID(D14,1,FIND("|",D14)-1)&amp;"-"&amp;C14,"")</f>
        <v/>
      </c>
    </row>
    <row r="15" customFormat="false" ht="14.25" hidden="false" customHeight="false" outlineLevel="0" collapsed="false">
      <c r="A15" s="18" t="str">
        <f aca="false">IFERROR(MID(D15,1,FIND("|",D15)-1)&amp;"-"&amp;C15,"")</f>
        <v/>
      </c>
    </row>
    <row r="16" customFormat="false" ht="14.25" hidden="false" customHeight="false" outlineLevel="0" collapsed="false">
      <c r="A16" s="18" t="str">
        <f aca="false">IFERROR(MID(D16,1,FIND("|",D16)-1)&amp;"-"&amp;C16,"")</f>
        <v/>
      </c>
    </row>
    <row r="17" customFormat="false" ht="14.25" hidden="false" customHeight="false" outlineLevel="0" collapsed="false">
      <c r="A17" s="18" t="str">
        <f aca="false">IFERROR(MID(D17,1,FIND("|",D17)-1)&amp;"-"&amp;C17,"")</f>
        <v/>
      </c>
    </row>
    <row r="18" customFormat="false" ht="14.25" hidden="false" customHeight="false" outlineLevel="0" collapsed="false">
      <c r="A18" s="18" t="str">
        <f aca="false">IFERROR(MID(D18,1,FIND("|",D18)-1)&amp;"-"&amp;C18,"")</f>
        <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row r="1000" customFormat="false" ht="14.25" hidden="false" customHeight="false" outlineLevel="0" collapsed="false">
      <c r="A1000" s="18" t="str">
        <f aca="false">IFERROR(MID(D1000,1,FIND("|",D1000)-1)&amp;"-"&amp;C1000,"")</f>
        <v/>
      </c>
    </row>
  </sheetData>
  <hyperlinks>
    <hyperlink ref="G6" r:id="rId1" display="https://drive.google.com/open?id=19s76FJO8uCvAt9BeYAV3dx8BHwzCBOdU"/>
    <hyperlink ref="G7" r:id="rId2" display="https://drive.google.com/open?id=1G7phH4xBi_ZD2xdSYK4lE7OpfqlHYBph"/>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2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6.14"/>
  </cols>
  <sheetData>
    <row r="1" customFormat="false" ht="12.75" hidden="false" customHeight="false" outlineLevel="0" collapsed="false">
      <c r="A1" s="13" t="s">
        <v>1848</v>
      </c>
      <c r="B1" s="13" t="s">
        <v>1779</v>
      </c>
      <c r="C1" s="13" t="s">
        <v>1780</v>
      </c>
      <c r="D1" s="13" t="s">
        <v>1781</v>
      </c>
      <c r="E1" s="13" t="s">
        <v>1782</v>
      </c>
      <c r="F1" s="13" t="s">
        <v>1783</v>
      </c>
      <c r="G1" s="13" t="s">
        <v>1784</v>
      </c>
    </row>
    <row r="2" customFormat="false" ht="7.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AICI201907-2-1-1</v>
      </c>
      <c r="B4" s="19" t="n">
        <f aca="false">IFERROR(__xludf.dummyfunction("""COMPUTED_VALUE"""),43921)</f>
        <v>43921</v>
      </c>
      <c r="C4" s="0" t="n">
        <f aca="false">IFERROR(__xludf.dummyfunction("""COMPUTED_VALUE"""),1)</f>
        <v>1</v>
      </c>
      <c r="D4" s="0" t="str">
        <f aca="false">IFERROR(__xludf.dummyfunction("""COMPUTED_VALUE"""),"AICI201907-2-1| Generar una metodología de materialización de riesgos reporte, análisis, valoración e intervención para los riesgos materializados. (04/05/2020 - 31/05/2020)")</f>
        <v>AICI201907-2-1| Generar una metodología de materialización de riesgos reporte, análisis, valoración e intervención para los riesgos materializados. (04/05/2020 - 31/05/2020)</v>
      </c>
      <c r="E4" s="0" t="str">
        <f aca="false">IFERROR(__xludf.dummyfunction("""COMPUTED_VALUE"""),"A la acción aun no se le puede realizar seguimiento porque esta planteada para iniciarse el 4 de mayo por esta razón no hay soportes")</f>
        <v>A la acción aun no se le puede realizar seguimiento porque esta planteada para iniciarse el 4 de mayo por esta razón no hay soportes</v>
      </c>
      <c r="F4" s="0" t="str">
        <f aca="false">IFERROR(__xludf.dummyfunction("""COMPUTED_VALUE"""),"No iniciado")</f>
        <v>No iniciado</v>
      </c>
      <c r="G4" s="20" t="str">
        <f aca="false">IFERROR(__xludf.dummyfunction("""COMPUTED_VALUE"""),"https://drive.google.com/open?id=1T7B-WcgGEqQQ1oD6sAprSeJT0qeNPbGO")</f>
        <v>https://drive.google.com/open?id=1T7B-WcgGEqQQ1oD6sAprSeJT0qeNPbGO</v>
      </c>
    </row>
    <row r="5" customFormat="false" ht="14.25" hidden="false" customHeight="false" outlineLevel="0" collapsed="false">
      <c r="A5" s="18" t="str">
        <f aca="false">IFERROR(MID(D5,1,FIND("|",D5)-1)&amp;"-"&amp;C5,"")</f>
        <v>AICI201907-3-1-1</v>
      </c>
      <c r="B5" s="19" t="n">
        <f aca="false">IFERROR(__xludf.dummyfunction("""COMPUTED_VALUE"""),43921)</f>
        <v>43921</v>
      </c>
      <c r="C5" s="0" t="n">
        <f aca="false">IFERROR(__xludf.dummyfunction("""COMPUTED_VALUE"""),1)</f>
        <v>1</v>
      </c>
      <c r="D5" s="0" t="str">
        <f aca="false">IFERROR(__xludf.dummyfunction("""COMPUTED_VALUE"""),"AICI201907-3-1| Implementar metodología de materialización de riesgos reporte, análisis, valoración e intervención para los riesgos materializados. (01/06/2020 - 30/06/2020)")</f>
        <v>AICI201907-3-1| Implementar metodología de materialización de riesgos reporte, análisis, valoración e intervención para los riesgos materializados. (01/06/2020 - 30/06/2020)</v>
      </c>
      <c r="E5" s="0" t="str">
        <f aca="false">IFERROR(__xludf.dummyfunction("""COMPUTED_VALUE"""),"A la acción aun no se le puede realizar seguimiento porque esta planteada para iniciarse el 1 de junio por esta razón no hay soportes")</f>
        <v>A la acción aun no se le puede realizar seguimiento porque esta planteada para iniciarse el 1 de junio por esta razón no hay soportes</v>
      </c>
      <c r="F5" s="0" t="str">
        <f aca="false">IFERROR(__xludf.dummyfunction("""COMPUTED_VALUE"""),"No iniciado")</f>
        <v>No iniciado</v>
      </c>
      <c r="G5" s="20" t="str">
        <f aca="false">IFERROR(__xludf.dummyfunction("""COMPUTED_VALUE"""),"https://drive.google.com/open?id=12F29Ufdi2tuCRwSeaR0ZvjgLnOgJKaS1")</f>
        <v>https://drive.google.com/open?id=12F29Ufdi2tuCRwSeaR0ZvjgLnOgJKaS1</v>
      </c>
    </row>
    <row r="6" customFormat="false" ht="14.25" hidden="false" customHeight="false" outlineLevel="0" collapsed="false">
      <c r="A6" s="18" t="str">
        <f aca="false">IFERROR(MID(D6,1,FIND("|",D6)-1)&amp;"-"&amp;C6,"")</f>
        <v>AICI201907-4-1-1</v>
      </c>
      <c r="B6" s="19" t="n">
        <f aca="false">IFERROR(__xludf.dummyfunction("""COMPUTED_VALUE"""),43921)</f>
        <v>43921</v>
      </c>
      <c r="C6" s="0" t="n">
        <f aca="false">IFERROR(__xludf.dummyfunction("""COMPUTED_VALUE"""),1)</f>
        <v>1</v>
      </c>
      <c r="D6" s="0" t="str">
        <f aca="false">IFERROR(__xludf.dummyfunction("""COMPUTED_VALUE"""),"AICI201907-4-1| Presentar informes trimestrales de materialización del riesgo. (01/07/2020 - 30/07/2020)")</f>
        <v>AICI201907-4-1| Presentar informes trimestrales de materialización del riesgo. (01/07/2020 - 30/07/2020)</v>
      </c>
      <c r="E6" s="0" t="str">
        <f aca="false">IFERROR(__xludf.dummyfunction("""COMPUTED_VALUE"""),"A la acción aun no se le puede realizar seguimiento porque esta planteada para iniciarse el 1 de Julio por esta razón no hay soportes")</f>
        <v>A la acción aun no se le puede realizar seguimiento porque esta planteada para iniciarse el 1 de Julio por esta razón no hay soportes</v>
      </c>
      <c r="F6" s="0" t="str">
        <f aca="false">IFERROR(__xludf.dummyfunction("""COMPUTED_VALUE"""),"No iniciado")</f>
        <v>No iniciado</v>
      </c>
      <c r="G6" s="20" t="str">
        <f aca="false">IFERROR(__xludf.dummyfunction("""COMPUTED_VALUE"""),"https://drive.google.com/open?id=16L254wuAFnxr5F5WFfYQTyMNvjO88104")</f>
        <v>https://drive.google.com/open?id=16L254wuAFnxr5F5WFfYQTyMNvjO88104</v>
      </c>
    </row>
    <row r="7" customFormat="false" ht="14.25" hidden="false" customHeight="false" outlineLevel="0" collapsed="false">
      <c r="A7" s="18" t="str">
        <f aca="false">IFERROR(MID(D7,1,FIND("|",D7)-1)&amp;"-"&amp;C7,"")</f>
        <v>AICI201907-5-1-1</v>
      </c>
      <c r="B7" s="19" t="n">
        <f aca="false">IFERROR(__xludf.dummyfunction("""COMPUTED_VALUE"""),43921)</f>
        <v>43921</v>
      </c>
      <c r="C7" s="0" t="n">
        <f aca="false">IFERROR(__xludf.dummyfunction("""COMPUTED_VALUE"""),1)</f>
        <v>1</v>
      </c>
      <c r="D7" s="0" t="str">
        <f aca="false">IFERROR(__xludf.dummyfunction("""COMPUTED_VALUE"""),"AICI201907-5-1| Actualización de la caracterización del proceso de gestión estratégica y procedimientos que le corresponden. (01/06/2020 - 31/08/2020)")</f>
        <v>AICI201907-5-1| Actualización de la caracterización del proceso de gestión estratégica y procedimientos que le corresponden. (01/06/2020 - 31/08/2020)</v>
      </c>
      <c r="E7" s="0" t="str">
        <f aca="false">IFERROR(__xludf.dummyfunction("""COMPUTED_VALUE"""),"A la acción aun no se le puede realizar seguimiento porque esta planteada para iniciarse el 1 de junio por esta razón no hay soportes")</f>
        <v>A la acción aun no se le puede realizar seguimiento porque esta planteada para iniciarse el 1 de junio por esta razón no hay soportes</v>
      </c>
      <c r="F7" s="0" t="str">
        <f aca="false">IFERROR(__xludf.dummyfunction("""COMPUTED_VALUE"""),"No iniciado")</f>
        <v>No iniciado</v>
      </c>
      <c r="G7" s="20" t="str">
        <f aca="false">IFERROR(__xludf.dummyfunction("""COMPUTED_VALUE"""),"https://drive.google.com/open?id=1bhTrUgQq2NkAiSjbvhJ8mdXX4GYKDXWr")</f>
        <v>https://drive.google.com/open?id=1bhTrUgQq2NkAiSjbvhJ8mdXX4GYKDXWr</v>
      </c>
    </row>
    <row r="8" customFormat="false" ht="14.25" hidden="false" customHeight="false" outlineLevel="0" collapsed="false">
      <c r="A8" s="18" t="str">
        <f aca="false">IFERROR(MID(D8,1,FIND("|",D8)-1)&amp;"-"&amp;C8,"")</f>
        <v>AICI201907-1-1-1</v>
      </c>
      <c r="B8" s="19" t="n">
        <f aca="false">IFERROR(__xludf.dummyfunction("""COMPUTED_VALUE"""),43921)</f>
        <v>43921</v>
      </c>
      <c r="C8" s="0" t="n">
        <f aca="false">IFERROR(__xludf.dummyfunction("""COMPUTED_VALUE"""),1)</f>
        <v>1</v>
      </c>
      <c r="D8" s="0" t="str">
        <f aca="false">IFERROR(__xludf.dummyfunction("""COMPUTED_VALUE"""),"AICI201907-1-1| Actualizar el mapa de riesgos institucional que incluya riesgos de gestión, corrupción y seguridad digital. (24/02/2020 - 30/04/2020)")</f>
        <v>AICI201907-1-1| Actualizar el mapa de riesgos institucional que incluya riesgos de gestión, corrupción y seguridad digital. (24/02/2020 - 30/04/2020)</v>
      </c>
      <c r="E8" s="0" t="str">
        <f aca="false">IFERROR(__xludf.dummyfunction("""COMPUTED_VALUE"""),"arte de la oficina de Desarrollo institucional un Drive en la Web como herramienta 
para la gestión de actualización de los mapas de riesgos de cada uno de los procesos")</f>
        <v>arte de la oficina de Desarrollo institucional un Drive en la Web como herramienta 
para la gestión de actualización de los mapas de riesgos de cada uno de los procesos</v>
      </c>
      <c r="F8" s="0" t="str">
        <f aca="false">IFERROR(__xludf.dummyfunction("""COMPUTED_VALUE"""),"En desarrollo")</f>
        <v>En desarrollo</v>
      </c>
      <c r="G8" s="20" t="str">
        <f aca="false">IFERROR(__xludf.dummyfunction("""COMPUTED_VALUE"""),"https://drive.google.com/open?id=1zMThgm1jlLybq5W3-fPEkD2qKOGiqpJu")</f>
        <v>https://drive.google.com/open?id=1zMThgm1jlLybq5W3-fPEkD2qKOGiqpJu</v>
      </c>
    </row>
    <row r="9" customFormat="false" ht="14.25" hidden="false" customHeight="false" outlineLevel="0" collapsed="false">
      <c r="A9" s="18" t="str">
        <f aca="false">IFERROR(MID(D9,1,FIND("|",D9)-1)&amp;"-"&amp;C9,"")</f>
        <v>AICI201907-2-1-2</v>
      </c>
      <c r="B9" s="19" t="n">
        <f aca="false">IFERROR(__xludf.dummyfunction("""COMPUTED_VALUE"""),44405)</f>
        <v>44405</v>
      </c>
      <c r="C9" s="0" t="n">
        <f aca="false">IFERROR(__xludf.dummyfunction("""COMPUTED_VALUE"""),2)</f>
        <v>2</v>
      </c>
      <c r="D9" s="0" t="str">
        <f aca="false">IFERROR(__xludf.dummyfunction("""COMPUTED_VALUE"""),"AICI201907-2-1| Generar una metodología de materialización de riesgos reporte, análisis, valoración e intervención para los riesgos materializados. (04/05/2020 - 31/05/2020)")</f>
        <v>AICI201907-2-1| Generar una metodología de materialización de riesgos reporte, análisis, valoración e intervención para los riesgos materializados. (04/05/2020 - 31/05/2020)</v>
      </c>
      <c r="E9" s="0" t="str">
        <f aca="false">IFERROR(__xludf.dummyfunction("""COMPUTED_VALUE"""),"Se tiene reporte e informe de materialización de los riesgos donde se abordan estrategias para el tratamiento de las materializaciones donde se conceptualizan herramientas para identificar y valorar la materialización  y se explica metodología para foment"&amp;"ar la reducción  de la materialización del riesgo")</f>
        <v>Se tiene reporte e informe de materialización de los riesgos donde se abordan estrategias para el tratamiento de las materializaciones donde se conceptualizan herramientas para identificar y valorar la materialización  y se explica metodología para fomentar la reducción  de la materialización del riesgo</v>
      </c>
      <c r="F9" s="0" t="str">
        <f aca="false">IFERROR(__xludf.dummyfunction("""COMPUTED_VALUE"""),"Completo")</f>
        <v>Completo</v>
      </c>
      <c r="G9" s="0" t="str">
        <f aca="false">IFERROR(__xludf.dummyfunction("""COMPUTED_VALUE"""),"https://drive.google.com/open?id=1p-yDSGLAihM7qImmO8dTasoD-xbmVT4c, https://drive.google.com/open?id=16mC9N0v4i4ALRbjHYYnl5W7JRuPKBYpd")</f>
        <v>https://drive.google.com/open?id=1p-yDSGLAihM7qImmO8dTasoD-xbmVT4c, https://drive.google.com/open?id=16mC9N0v4i4ALRbjHYYnl5W7JRuPKBYpd</v>
      </c>
    </row>
    <row r="10" customFormat="false" ht="14.25" hidden="false" customHeight="false" outlineLevel="0" collapsed="false">
      <c r="A10" s="18" t="str">
        <f aca="false">IFERROR(MID(D10,1,FIND("|",D10)-1)&amp;"-"&amp;C10,"")</f>
        <v>AICI201907-3-1-2</v>
      </c>
      <c r="B10" s="19" t="n">
        <f aca="false">IFERROR(__xludf.dummyfunction("""COMPUTED_VALUE"""),44405)</f>
        <v>44405</v>
      </c>
      <c r="C10" s="0" t="n">
        <f aca="false">IFERROR(__xludf.dummyfunction("""COMPUTED_VALUE"""),2)</f>
        <v>2</v>
      </c>
      <c r="D10" s="0" t="str">
        <f aca="false">IFERROR(__xludf.dummyfunction("""COMPUTED_VALUE"""),"AICI201907-3-1| Implementar metodología de materialización de riesgos reporte, análisis, valoración e intervención para los riesgos materializados. (01/06/2020 - 30/06/2020)")</f>
        <v>AICI201907-3-1| Implementar metodología de materialización de riesgos reporte, análisis, valoración e intervención para los riesgos materializados. (01/06/2020 - 30/06/2020)</v>
      </c>
      <c r="E10" s="0" t="str">
        <f aca="false">IFERROR(__xludf.dummyfunction("""COMPUTED_VALUE"""),"Se realizan informes trimestralmente de evaluación y seguimiento del mapa de riesgos  del procesos  incluyendo el tema de el manejo la materialización de los riesgos --  se propone realizar publicacion en la pagina Web un espacio con la metodología de del"&amp;" manejo de este tema")</f>
        <v>Se realizan informes trimestralmente de evaluación y seguimiento del mapa de riesgos  del procesos  incluyendo el tema de el manejo la materialización de los riesgos --  se propone realizar publicacion en la pagina Web un espacio con la metodología de del manejo de este tema</v>
      </c>
      <c r="F10" s="0" t="str">
        <f aca="false">IFERROR(__xludf.dummyfunction("""COMPUTED_VALUE"""),"Completo")</f>
        <v>Completo</v>
      </c>
      <c r="G10" s="0" t="str">
        <f aca="false">IFERROR(__xludf.dummyfunction("""COMPUTED_VALUE"""),"https://drive.google.com/open?id=18TpERNateuGw5AS9UlG0JnqsUMj_cfRv, https://drive.google.com/open?id=11KcinufNHdzZ7VrjgpnT3z9_revi8P_l, https://drive.google.com/open?id=15VGRFUL7c7GpcZGnhABXU4tOrBPEh8Sr")</f>
        <v>https://drive.google.com/open?id=18TpERNateuGw5AS9UlG0JnqsUMj_cfRv, https://drive.google.com/open?id=11KcinufNHdzZ7VrjgpnT3z9_revi8P_l, https://drive.google.com/open?id=15VGRFUL7c7GpcZGnhABXU4tOrBPEh8Sr</v>
      </c>
    </row>
    <row r="11" customFormat="false" ht="14.25" hidden="false" customHeight="false" outlineLevel="0" collapsed="false">
      <c r="A11" s="18" t="str">
        <f aca="false">IFERROR(MID(D11,1,FIND("|",D11)-1)&amp;"-"&amp;C11,"")</f>
        <v>AICI201907-4-1-2</v>
      </c>
      <c r="B11" s="19" t="n">
        <f aca="false">IFERROR(__xludf.dummyfunction("""COMPUTED_VALUE"""),44405)</f>
        <v>44405</v>
      </c>
      <c r="C11" s="0" t="n">
        <f aca="false">IFERROR(__xludf.dummyfunction("""COMPUTED_VALUE"""),2)</f>
        <v>2</v>
      </c>
      <c r="D11" s="0" t="str">
        <f aca="false">IFERROR(__xludf.dummyfunction("""COMPUTED_VALUE"""),"AICI201907-4-1| Presentar informes trimestrales de materialización del riesgo. (01/07/2020 - 30/07/2020)")</f>
        <v>AICI201907-4-1| Presentar informes trimestrales de materialización del riesgo. (01/07/2020 - 30/07/2020)</v>
      </c>
      <c r="E11" s="0" t="str">
        <f aca="false">IFERROR(__xludf.dummyfunction("""COMPUTED_VALUE"""),"Se realizan informes trimestralmente de evaluación y seguimiento del mapa de riesgos  del procesos  incluyendo el tema de el manejo la materialización de los riesgos --  se propone realizar publicacion en la pagina Web un espacio con la metodología de del"&amp;" manejo de este tema")</f>
        <v>Se realizan informes trimestralmente de evaluación y seguimiento del mapa de riesgos  del procesos  incluyendo el tema de el manejo la materialización de los riesgos --  se propone realizar publicacion en la pagina Web un espacio con la metodología de del manejo de este tema</v>
      </c>
      <c r="F11" s="0" t="str">
        <f aca="false">IFERROR(__xludf.dummyfunction("""COMPUTED_VALUE"""),"Completo")</f>
        <v>Completo</v>
      </c>
      <c r="G11" s="0" t="str">
        <f aca="false">IFERROR(__xludf.dummyfunction("""COMPUTED_VALUE"""),"https://drive.google.com/open?id=1BUybvxdXXiH5P3buREJPwjwMipGQ4FXC, https://drive.google.com/open?id=1E9E6z1MK2A6tPZxnLrcDWpkGeivlWF3o, https://drive.google.com/open?id=1uFaBD1LYHHK4YKUYhNIEdM3-iSd3HBAP")</f>
        <v>https://drive.google.com/open?id=1BUybvxdXXiH5P3buREJPwjwMipGQ4FXC, https://drive.google.com/open?id=1E9E6z1MK2A6tPZxnLrcDWpkGeivlWF3o, https://drive.google.com/open?id=1uFaBD1LYHHK4YKUYhNIEdM3-iSd3HBAP</v>
      </c>
    </row>
    <row r="12" customFormat="false" ht="14.25" hidden="false" customHeight="false" outlineLevel="0" collapsed="false">
      <c r="A12" s="18" t="str">
        <f aca="false">IFERROR(MID(D12,1,FIND("|",D12)-1)&amp;"-"&amp;C12,"")</f>
        <v>AICI201907-5-1-2</v>
      </c>
      <c r="B12" s="19" t="n">
        <f aca="false">IFERROR(__xludf.dummyfunction("""COMPUTED_VALUE"""),44405)</f>
        <v>44405</v>
      </c>
      <c r="C12" s="0" t="n">
        <f aca="false">IFERROR(__xludf.dummyfunction("""COMPUTED_VALUE"""),2)</f>
        <v>2</v>
      </c>
      <c r="D12" s="0" t="str">
        <f aca="false">IFERROR(__xludf.dummyfunction("""COMPUTED_VALUE"""),"AICI201907-5-1| Actualización de la caracterización del proceso de gestión estratégica y procedimientos que le corresponden. (01/06/2020 - 31/08/2020)")</f>
        <v>AICI201907-5-1| Actualización de la caracterización del proceso de gestión estratégica y procedimientos que le corresponden. (01/06/2020 - 31/08/2020)</v>
      </c>
      <c r="E12" s="0" t="str">
        <f aca="false">IFERROR(__xludf.dummyfunction("""COMPUTED_VALUE"""),"Para el tema de actualizacion de la caracteirzación del proceso de gestion estrategica y sus procedimientos, se estan realizando actividades relacionadas con la plataforma estrategia y proceso admistrativos  para lograr dejar lo mas actualizado posible la"&amp;" informacion  entre estos esta  un estudio de cargas laborales en a subred, el   manual de gestion y admon de riesgo  publicado en la URL http://www2.subrednorte.gov.co/intranetsrn/index.php/gestion-de-calidad/control-documental/func-startdown/6984/ actua"&amp;"lizacion de plataforma estrategica  entre otros se continuara con estas actividades durante el 2021. Existe una guia para el desarrollo y mejora de procesos y procedimientos, se tiene un portafolio de servicios actualizados y de cadena valor. ")</f>
        <v>Para el tema de actualizacion de la caracteirzación del proceso de gestion estrategica y sus procedimientos, se estan realizando actividades relacionadas con la plataforma estrategia y proceso admistrativos  para lograr dejar lo mas actualizado posible la informacion  entre estos esta  un estudio de cargas laborales en a subred, el   manual de gestion y admon de riesgo  publicado en la URL http://www2.subrednorte.gov.co/intranetsrn/index.php/gestion-de-calidad/control-documental/func-startdown/6984/ actualizacion de plataforma estrategica  entre otros se continuara con estas actividades durante el 2021. Existe una guia para el desarrollo y mejora de procesos y procedimientos, se tiene un portafolio de servicios actualizados y de cadena valor. </v>
      </c>
      <c r="F12" s="0" t="str">
        <f aca="false">IFERROR(__xludf.dummyfunction("""COMPUTED_VALUE"""),"En desarrollo")</f>
        <v>En desarrollo</v>
      </c>
      <c r="G12" s="0" t="str">
        <f aca="false">IFERROR(__xludf.dummyfunction("""COMPUTED_VALUE"""),"https://drive.google.com/open?id=1NPJ4YFKwVYtstq3g0E2nE-kNFtckTVRu, https://drive.google.com/open?id=1h2WnLyxq0rTrmojAnzsazr39-h3_SAQ5")</f>
        <v>https://drive.google.com/open?id=1NPJ4YFKwVYtstq3g0E2nE-kNFtckTVRu, https://drive.google.com/open?id=1h2WnLyxq0rTrmojAnzsazr39-h3_SAQ5</v>
      </c>
    </row>
    <row r="13" customFormat="false" ht="14.25" hidden="false" customHeight="false" outlineLevel="0" collapsed="false">
      <c r="A13" s="18" t="str">
        <f aca="false">IFERROR(MID(D13,1,FIND("|",D13)-1)&amp;"-"&amp;C13,"")</f>
        <v>AICI201907-1-1-2</v>
      </c>
      <c r="B13" s="19" t="n">
        <f aca="false">IFERROR(__xludf.dummyfunction("""COMPUTED_VALUE"""),44405)</f>
        <v>44405</v>
      </c>
      <c r="C13" s="0" t="n">
        <f aca="false">IFERROR(__xludf.dummyfunction("""COMPUTED_VALUE"""),2)</f>
        <v>2</v>
      </c>
      <c r="D13" s="0" t="str">
        <f aca="false">IFERROR(__xludf.dummyfunction("""COMPUTED_VALUE"""),"AICI201907-1-1| Actualizar el mapa de riesgos institucional que incluya riesgos de gestión, corrupción y seguridad digital. (24/02/2020 - 30/04/2020)")</f>
        <v>AICI201907-1-1| Actualizar el mapa de riesgos institucional que incluya riesgos de gestión, corrupción y seguridad digital. (24/02/2020 - 30/04/2020)</v>
      </c>
      <c r="E13" s="0" t="str">
        <f aca="false">IFERROR(__xludf.dummyfunction("""COMPUTED_VALUE"""),"Se evidencia que el mapa de riesgos institucional se encuentra  publicado adecuadamente y fue socializado  en la URL  https://www.subrednorte.gov.co/transparencia/planeacion/pol%C3%ADticas-lineamientos-y-manuales/mapa-riesgos-proceso-2020 adicionalmete se"&amp;" tine soporte del acta de formulacion de cada uno de los mapas de los procesos. Incluye COVID  y Corrupción ")</f>
        <v>Se evidencia que el mapa de riesgos institucional se encuentra  publicado adecuadamente y fue socializado  en la URL  https://www.subrednorte.gov.co/transparencia/planeacion/pol%C3%ADticas-lineamientos-y-manuales/mapa-riesgos-proceso-2020 adicionalmete se tine soporte del acta de formulacion de cada uno de los mapas de los procesos. Incluye COVID  y Corrupción </v>
      </c>
      <c r="F13" s="0" t="str">
        <f aca="false">IFERROR(__xludf.dummyfunction("""COMPUTED_VALUE"""),"Completo")</f>
        <v>Completo</v>
      </c>
      <c r="G13" s="0" t="str">
        <f aca="false">IFERROR(__xludf.dummyfunction("""COMPUTED_VALUE"""),"https://drive.google.com/open?id=1-5jseg8qca85U0CSP_ZIuOyCFVhKll4W, https://drive.google.com/open?id=1ImIGv5RnG1ZFVSdfG5oI19bm8dAfMLqE, https://drive.google.com/open?id=1irMd4OiBrTz_kC38cQquW_iRqnYPVTVr")</f>
        <v>https://drive.google.com/open?id=1-5jseg8qca85U0CSP_ZIuOyCFVhKll4W, https://drive.google.com/open?id=1ImIGv5RnG1ZFVSdfG5oI19bm8dAfMLqE, https://drive.google.com/open?id=1irMd4OiBrTz_kC38cQquW_iRqnYPVTVr</v>
      </c>
    </row>
    <row r="14" customFormat="false" ht="14.25" hidden="false" customHeight="false" outlineLevel="0" collapsed="false">
      <c r="A14" s="18" t="str">
        <f aca="false">IFERROR(MID(D14,1,FIND("|",D14)-1)&amp;"-"&amp;C14,"")</f>
        <v>AICI201907-1-1-3</v>
      </c>
      <c r="B14" s="19" t="n">
        <f aca="false">IFERROR(__xludf.dummyfunction("""COMPUTED_VALUE"""),44483)</f>
        <v>44483</v>
      </c>
      <c r="C14" s="0" t="n">
        <f aca="false">IFERROR(__xludf.dummyfunction("""COMPUTED_VALUE"""),3)</f>
        <v>3</v>
      </c>
      <c r="D14" s="0" t="str">
        <f aca="false">IFERROR(__xludf.dummyfunction("""COMPUTED_VALUE"""),"AICI201907-1-1| Actualizar el mapa de riesgos institucional que incluya riesgos de gestión, corrupción y seguridad digital. (24/02/2020 - 30/04/2020)")</f>
        <v>AICI201907-1-1| Actualizar el mapa de riesgos institucional que incluya riesgos de gestión, corrupción y seguridad digital. (24/02/2020 - 30/04/2020)</v>
      </c>
      <c r="E14" s="0" t="str">
        <f aca="false">IFERROR(__xludf.dummyfunction("""COMPUTED_VALUE"""),"La acción ya se encuentra completada desde el seguimiento anterior")</f>
        <v>La acción ya se encuentra completada desde el seguimiento anterior</v>
      </c>
      <c r="F14" s="0" t="str">
        <f aca="false">IFERROR(__xludf.dummyfunction("""COMPUTED_VALUE"""),"Completo")</f>
        <v>Completo</v>
      </c>
    </row>
    <row r="15" customFormat="false" ht="14.25" hidden="false" customHeight="false" outlineLevel="0" collapsed="false">
      <c r="A15" s="18" t="str">
        <f aca="false">IFERROR(MID(D15,1,FIND("|",D15)-1)&amp;"-"&amp;C15,"")</f>
        <v>AICI201907-2-1-3</v>
      </c>
      <c r="B15" s="19" t="n">
        <f aca="false">IFERROR(__xludf.dummyfunction("""COMPUTED_VALUE"""),44483)</f>
        <v>44483</v>
      </c>
      <c r="C15" s="0" t="n">
        <f aca="false">IFERROR(__xludf.dummyfunction("""COMPUTED_VALUE"""),3)</f>
        <v>3</v>
      </c>
      <c r="D15" s="0" t="str">
        <f aca="false">IFERROR(__xludf.dummyfunction("""COMPUTED_VALUE"""),"AICI201907-2-1| Generar una metodología de materialización de riesgos reporte, análisis, valoración e intervención para los riesgos materializados. (04/05/2020 - 31/05/2020)")</f>
        <v>AICI201907-2-1| Generar una metodología de materialización de riesgos reporte, análisis, valoración e intervención para los riesgos materializados. (04/05/2020 - 31/05/2020)</v>
      </c>
      <c r="E15" s="0" t="str">
        <f aca="false">IFERROR(__xludf.dummyfunction("""COMPUTED_VALUE"""),"Esta Acción se encuentra completada desde el seguimiento anterior")</f>
        <v>Esta Acción se encuentra completada desde el seguimiento anterior</v>
      </c>
      <c r="F15" s="0" t="str">
        <f aca="false">IFERROR(__xludf.dummyfunction("""COMPUTED_VALUE"""),"Completo")</f>
        <v>Completo</v>
      </c>
    </row>
    <row r="16" customFormat="false" ht="14.25" hidden="false" customHeight="false" outlineLevel="0" collapsed="false">
      <c r="A16" s="18" t="str">
        <f aca="false">IFERROR(MID(D16,1,FIND("|",D16)-1)&amp;"-"&amp;C16,"")</f>
        <v>AICI201907-3-1-3</v>
      </c>
      <c r="B16" s="19" t="n">
        <f aca="false">IFERROR(__xludf.dummyfunction("""COMPUTED_VALUE"""),44483)</f>
        <v>44483</v>
      </c>
      <c r="C16" s="0" t="n">
        <f aca="false">IFERROR(__xludf.dummyfunction("""COMPUTED_VALUE"""),3)</f>
        <v>3</v>
      </c>
      <c r="D16" s="0" t="str">
        <f aca="false">IFERROR(__xludf.dummyfunction("""COMPUTED_VALUE"""),"AICI201907-3-1| Implementar metodología de materialización de riesgos reporte, análisis, valoración e intervención para los riesgos materializados. (01/06/2020 - 30/06/2020)")</f>
        <v>AICI201907-3-1| Implementar metodología de materialización de riesgos reporte, análisis, valoración e intervención para los riesgos materializados. (01/06/2020 - 30/06/2020)</v>
      </c>
      <c r="E16" s="0" t="str">
        <f aca="false">IFERROR(__xludf.dummyfunction("""COMPUTED_VALUE"""),"Esta Acción se encuentra completada desde el seguimiento anterior")</f>
        <v>Esta Acción se encuentra completada desde el seguimiento anterior</v>
      </c>
      <c r="F16" s="0" t="str">
        <f aca="false">IFERROR(__xludf.dummyfunction("""COMPUTED_VALUE"""),"Completo")</f>
        <v>Completo</v>
      </c>
    </row>
    <row r="17" customFormat="false" ht="14.25" hidden="false" customHeight="false" outlineLevel="0" collapsed="false">
      <c r="A17" s="18" t="str">
        <f aca="false">IFERROR(MID(D17,1,FIND("|",D17)-1)&amp;"-"&amp;C17,"")</f>
        <v>AICI201907-4-1-3</v>
      </c>
      <c r="B17" s="19" t="n">
        <f aca="false">IFERROR(__xludf.dummyfunction("""COMPUTED_VALUE"""),44483)</f>
        <v>44483</v>
      </c>
      <c r="C17" s="0" t="n">
        <f aca="false">IFERROR(__xludf.dummyfunction("""COMPUTED_VALUE"""),3)</f>
        <v>3</v>
      </c>
      <c r="D17" s="0" t="str">
        <f aca="false">IFERROR(__xludf.dummyfunction("""COMPUTED_VALUE"""),"AICI201907-4-1| Presentar informes trimestrales de materialización del riesgo. (01/07/2020 - 30/07/2020)")</f>
        <v>AICI201907-4-1| Presentar informes trimestrales de materialización del riesgo. (01/07/2020 - 30/07/2020)</v>
      </c>
      <c r="E17" s="0" t="str">
        <f aca="false">IFERROR(__xludf.dummyfunction("""COMPUTED_VALUE"""),"Esta Acción se encuentra completada desde el seguimiento anterior")</f>
        <v>Esta Acción se encuentra completada desde el seguimiento anterior</v>
      </c>
      <c r="F17" s="0" t="str">
        <f aca="false">IFERROR(__xludf.dummyfunction("""COMPUTED_VALUE"""),"Completo")</f>
        <v>Completo</v>
      </c>
    </row>
    <row r="18" customFormat="false" ht="14.25" hidden="false" customHeight="false" outlineLevel="0" collapsed="false">
      <c r="A18" s="18" t="str">
        <f aca="false">IFERROR(MID(D18,1,FIND("|",D18)-1)&amp;"-"&amp;C18,"")</f>
        <v>AICI201907-5-1-3</v>
      </c>
      <c r="B18" s="19" t="n">
        <f aca="false">IFERROR(__xludf.dummyfunction("""COMPUTED_VALUE"""),44483)</f>
        <v>44483</v>
      </c>
      <c r="C18" s="0" t="n">
        <f aca="false">IFERROR(__xludf.dummyfunction("""COMPUTED_VALUE"""),3)</f>
        <v>3</v>
      </c>
      <c r="D18" s="0" t="str">
        <f aca="false">IFERROR(__xludf.dummyfunction("""COMPUTED_VALUE"""),"AICI201907-5-1| Actualización de la caracterización del proceso de gestión estratégica y procedimientos que le corresponden. (01/06/2020 - 31/08/2020)")</f>
        <v>AICI201907-5-1| Actualización de la caracterización del proceso de gestión estratégica y procedimientos que le corresponden. (01/06/2020 - 31/08/2020)</v>
      </c>
      <c r="E18" s="0" t="str">
        <f aca="false">IFERROR(__xludf.dummyfunction("""COMPUTED_VALUE"""),"Se Realizo el diagnostico y se ha trabajado en 3 fases en la actualización de los procedimientos de Gestión Estratégica y sus procesos internos, se tiene flujogramas y caracterizaciones y están pendientes la revisión y aprobación de cada coordinador de gr"&amp;"upo, para concluir la etapa de diseño y ajuste de los procedimientos para luego pasarlos a la normalización con el área calidad ")</f>
        <v>Se Realizo el diagnostico y se ha trabajado en 3 fases en la actualización de los procedimientos de Gestión Estratégica y sus procesos internos, se tiene flujogramas y caracterizaciones y están pendientes la revisión y aprobación de cada coordinador de grupo, para concluir la etapa de diseño y ajuste de los procedimientos para luego pasarlos a la normalización con el área calidad </v>
      </c>
      <c r="F18" s="0" t="str">
        <f aca="false">IFERROR(__xludf.dummyfunction("""COMPUTED_VALUE"""),"Completo")</f>
        <v>Completo</v>
      </c>
      <c r="G18" s="0" t="str">
        <f aca="false">IFERROR(__xludf.dummyfunction("""COMPUTED_VALUE"""),"https://drive.google.com/open?id=11TBVVHMU3-Js3A88HicN8IOsrUo74FCK, https://drive.google.com/open?id=1J1z7rvP9MtuTjLQ0C2JwoSMn0XoIh6dK, https://drive.google.com/open?id=1jIzodXwaZgRn6nv_Bn6k--wc_TdshHD5, https://drive.google.com/open?id=1Hf1JcLw1_CML5cR8S"&amp;"0rI1nRZPwBpwBN5, https://drive.google.com/open?id=1yRCvHUm2PgHMXxqKPIloOE3ILTkS0KAr")</f>
        <v>https://drive.google.com/open?id=11TBVVHMU3-Js3A88HicN8IOsrUo74FCK, https://drive.google.com/open?id=1J1z7rvP9MtuTjLQ0C2JwoSMn0XoIh6dK, https://drive.google.com/open?id=1jIzodXwaZgRn6nv_Bn6k--wc_TdshHD5, https://drive.google.com/open?id=1Hf1JcLw1_CML5cR8S0rI1nRZPwBpwBN5, https://drive.google.com/open?id=1yRCvHUm2PgHMXxqKPIloOE3ILTkS0KAr</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sheetData>
  <hyperlinks>
    <hyperlink ref="G4" r:id="rId1" display="https://drive.google.com/open?id=1T7B-WcgGEqQQ1oD6sAprSeJT0qeNPbGO"/>
    <hyperlink ref="G5" r:id="rId2" display="https://drive.google.com/open?id=12F29Ufdi2tuCRwSeaR0ZvjgLnOgJKaS1"/>
    <hyperlink ref="G6" r:id="rId3" display="https://drive.google.com/open?id=16L254wuAFnxr5F5WFfYQTyMNvjO88104"/>
    <hyperlink ref="G7" r:id="rId4" display="https://drive.google.com/open?id=1bhTrUgQq2NkAiSjbvhJ8mdXX4GYKDXWr"/>
    <hyperlink ref="G8" r:id="rId5" display="https://drive.google.com/open?id=1zMThgm1jlLybq5W3-fPEkD2qKOGiqpJu"/>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5.86"/>
    <col collapsed="false" customWidth="true" hidden="false" outlineLevel="0" max="2" min="2" style="0" width="9.14"/>
    <col collapsed="false" customWidth="true" hidden="false" outlineLevel="0" max="3" min="3" style="0" width="6.71"/>
    <col collapsed="false" customWidth="true" hidden="false" outlineLevel="0" max="4" min="4" style="0" width="26.71"/>
  </cols>
  <sheetData>
    <row r="1" customFormat="false" ht="12.75" hidden="false" customHeight="false" outlineLevel="0" collapsed="false">
      <c r="A1" s="13" t="s">
        <v>1849</v>
      </c>
      <c r="B1" s="13" t="s">
        <v>1830</v>
      </c>
      <c r="C1" s="13" t="s">
        <v>1831</v>
      </c>
      <c r="D1" s="13" t="s">
        <v>1832</v>
      </c>
      <c r="E1" s="13" t="s">
        <v>1833</v>
      </c>
      <c r="F1" s="13" t="s">
        <v>1835</v>
      </c>
      <c r="G1" s="13" t="s">
        <v>1834</v>
      </c>
    </row>
    <row r="2" customFormat="false" ht="3"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2.75" hidden="false" customHeight="false" outlineLevel="0" collapsed="false">
      <c r="A4" s="0" t="str">
        <f aca="false">IFERROR(MID(D4,1,FIND("|",D4)-1)&amp;"-"&amp;C4,"")</f>
        <v>AICI201801-1-1-1</v>
      </c>
      <c r="B4" s="19" t="n">
        <f aca="false">IFERROR(__xludf.dummyfunction("""COMPUTED_VALUE"""),43523)</f>
        <v>43523</v>
      </c>
      <c r="C4" s="0" t="n">
        <f aca="false">IFERROR(__xludf.dummyfunction("""COMPUTED_VALUE"""),1)</f>
        <v>1</v>
      </c>
      <c r="D4" s="0" t="str">
        <f aca="false">IFERROR(__xludf.dummyfunction("""COMPUTED_VALUE"""),"AICI201801-1-1| Revisar y actualizar diagnostico de TICS según Mintic con la metodología IT4+ y actualizar los documentos referenciados en este.")</f>
        <v>AICI201801-1-1| Revisar y actualizar diagnostico de TICS según Mintic con la metodología IT4+ y actualizar los documentos referenciados en este.</v>
      </c>
      <c r="E4" s="0" t="str">
        <f aca="false">IFERROR(__xludf.dummyfunction("""COMPUTED_VALUE"""),"Actividad en desarrollo")</f>
        <v>Actividad en desarrollo</v>
      </c>
      <c r="F4" s="0" t="str">
        <f aca="false">IFERROR(__xludf.dummyfunction("""COMPUTED_VALUE"""),"En desarrollo")</f>
        <v>En desarrollo</v>
      </c>
    </row>
    <row r="5" customFormat="false" ht="12.75" hidden="false" customHeight="false" outlineLevel="0" collapsed="false">
      <c r="A5" s="0" t="str">
        <f aca="false">IFERROR(MID(D5,1,FIND("|",D5)-1)&amp;"-"&amp;C5,"")</f>
        <v>AICI201801-2-1-1</v>
      </c>
      <c r="B5" s="19" t="n">
        <f aca="false">IFERROR(__xludf.dummyfunction("""COMPUTED_VALUE"""),43523)</f>
        <v>43523</v>
      </c>
      <c r="C5" s="0" t="n">
        <f aca="false">IFERROR(__xludf.dummyfunction("""COMPUTED_VALUE"""),1)</f>
        <v>1</v>
      </c>
      <c r="D5" s="0" t="str">
        <f aca="false">IFERROR(__xludf.dummyfunction("""COMPUTED_VALUE"""),"AICI201801-2-1| Actualización del PETI, de acuerdo a lo establecido en la Resolución 004 de 2017 y directrices impartidas por parte de MINTIC.")</f>
        <v>AICI201801-2-1| Actualización del PETI, de acuerdo a lo establecido en la Resolución 004 de 2017 y directrices impartidas por parte de MINTIC.</v>
      </c>
      <c r="E5" s="0" t="str">
        <f aca="false">IFERROR(__xludf.dummyfunction("""COMPUTED_VALUE"""),"Se realiza actualización del PETI, el cual esta normalizado y publicado en la Intranet de la Subred con el código AP-GI-PL-10-02")</f>
        <v>Se realiza actualización del PETI, el cual esta normalizado y publicado en la Intranet de la Subred con el código AP-GI-PL-10-02</v>
      </c>
      <c r="F5" s="0" t="str">
        <f aca="false">IFERROR(__xludf.dummyfunction("""COMPUTED_VALUE"""),"En desarrollo")</f>
        <v>En desarrollo</v>
      </c>
      <c r="G5" s="20" t="str">
        <f aca="false">IFERROR(__xludf.dummyfunction("""COMPUTED_VALUE"""),"https://drive.google.com/open?id=1ImhsmZhwXz5_ywx748WG4o8FIDPaEZxH")</f>
        <v>https://drive.google.com/open?id=1ImhsmZhwXz5_ywx748WG4o8FIDPaEZxH</v>
      </c>
    </row>
    <row r="6" customFormat="false" ht="12.75" hidden="false" customHeight="false" outlineLevel="0" collapsed="false">
      <c r="A6" s="0" t="str">
        <f aca="false">IFERROR(MID(D6,1,FIND("|",D6)-1)&amp;"-"&amp;C6,"")</f>
        <v>AICI201801-3-1-1</v>
      </c>
      <c r="B6" s="19" t="n">
        <f aca="false">IFERROR(__xludf.dummyfunction("""COMPUTED_VALUE"""),43523)</f>
        <v>43523</v>
      </c>
      <c r="C6" s="0" t="n">
        <f aca="false">IFERROR(__xludf.dummyfunction("""COMPUTED_VALUE"""),1)</f>
        <v>1</v>
      </c>
      <c r="D6" s="0" t="str">
        <f aca="false">IFERROR(__xludf.dummyfunction("""COMPUTED_VALUE"""),"AICI201801-3-1| Realizar seguimiento a la ejecución del plan de compras del area de Sistemas de Información - TIC, a traves de indicadores, ajustandolo con el plan de compras institucional.")</f>
        <v>AICI201801-3-1| Realizar seguimiento a la ejecución del plan de compras del area de Sistemas de Información - TIC, a traves de indicadores, ajustandolo con el plan de compras institucional.</v>
      </c>
      <c r="E6" s="0" t="str">
        <f aca="false">IFERROR(__xludf.dummyfunction("""COMPUTED_VALUE"""),"Se realizó seguimiento al plan de compras 2018 ajustándolo con el el presupuesto de la Subred Norte ESE como se evidencia en el informe de ejecución del rubro de gastos de computador ")</f>
        <v>Se realizó seguimiento al plan de compras 2018 ajustándolo con el el presupuesto de la Subred Norte ESE como se evidencia en el informe de ejecución del rubro de gastos de computador </v>
      </c>
      <c r="F6" s="0" t="str">
        <f aca="false">IFERROR(__xludf.dummyfunction("""COMPUTED_VALUE"""),"Completo")</f>
        <v>Completo</v>
      </c>
      <c r="G6" s="20" t="str">
        <f aca="false">IFERROR(__xludf.dummyfunction("""COMPUTED_VALUE"""),"https://drive.google.com/open?id=1k5LnryQe2ykwTQYH8c9_BZE34N1zFor5")</f>
        <v>https://drive.google.com/open?id=1k5LnryQe2ykwTQYH8c9_BZE34N1zFor5</v>
      </c>
    </row>
    <row r="7" customFormat="false" ht="12.75" hidden="false" customHeight="false" outlineLevel="0" collapsed="false">
      <c r="A7" s="0" t="str">
        <f aca="false">IFERROR(MID(D7,1,FIND("|",D7)-1)&amp;"-"&amp;C7,"")</f>
        <v>AICI201801-4-1-1</v>
      </c>
      <c r="B7" s="19" t="n">
        <f aca="false">IFERROR(__xludf.dummyfunction("""COMPUTED_VALUE"""),43528)</f>
        <v>43528</v>
      </c>
      <c r="C7" s="0" t="n">
        <f aca="false">IFERROR(__xludf.dummyfunction("""COMPUTED_VALUE"""),1)</f>
        <v>1</v>
      </c>
      <c r="D7" s="0" t="str">
        <f aca="false">IFERROR(__xludf.dummyfunction("""COMPUTED_VALUE"""),"AICI201801-4-1| Actualización del cronograma de simulacros y Realización de simulacros para el Plan de Contingencia de los Sistemas de Información para el segundo semestre de 2018 y ajuste y hay lugar.")</f>
        <v>AICI201801-4-1| Actualización del cronograma de simulacros y Realización de simulacros para el Plan de Contingencia de los Sistemas de Información para el segundo semestre de 2018 y ajuste y hay lugar.</v>
      </c>
      <c r="E7" s="0" t="str">
        <f aca="false">IFERROR(__xludf.dummyfunction("""COMPUTED_VALUE"""),"Se presenta cronograma de plan de contingencia, se realiza simulacro en julio de 2018 y se presenta informe de dicho simulacro")</f>
        <v>Se presenta cronograma de plan de contingencia, se realiza simulacro en julio de 2018 y se presenta informe de dicho simulacro</v>
      </c>
      <c r="F7" s="0" t="str">
        <f aca="false">IFERROR(__xludf.dummyfunction("""COMPUTED_VALUE"""),"Completo")</f>
        <v>Completo</v>
      </c>
      <c r="G7" s="0" t="str">
        <f aca="false">IFERROR(__xludf.dummyfunction("""COMPUTED_VALUE"""),"https://drive.google.com/open?id=1Vl1P24PyTstrKzTxsJ3XaO_TsYbMZ7LX
https://drive.google.com/open?id=1Cu3FBSkhF_H8ADwkaFwmf7I9tBMy37DB")</f>
        <v>https://drive.google.com/open?id=1Vl1P24PyTstrKzTxsJ3XaO_TsYbMZ7LX
https://drive.google.com/open?id=1Cu3FBSkhF_H8ADwkaFwmf7I9tBMy37DB</v>
      </c>
    </row>
    <row r="8" customFormat="false" ht="12.75" hidden="false" customHeight="false" outlineLevel="0" collapsed="false">
      <c r="A8" s="0" t="str">
        <f aca="false">IFERROR(MID(D8,1,FIND("|",D8)-1)&amp;"-"&amp;C8,"")</f>
        <v>AICI201801-5-1-1</v>
      </c>
      <c r="B8" s="19" t="n">
        <f aca="false">IFERROR(__xludf.dummyfunction("""COMPUTED_VALUE"""),43528)</f>
        <v>43528</v>
      </c>
      <c r="C8" s="0" t="n">
        <f aca="false">IFERROR(__xludf.dummyfunction("""COMPUTED_VALUE"""),1)</f>
        <v>1</v>
      </c>
      <c r="D8" s="0" t="str">
        <f aca="false">IFERROR(__xludf.dummyfunction("""COMPUTED_VALUE"""),"AICI201801-5-1| Actualización del registro de los Activos de Información de la oficina de Sistemas de Información - TIC, de acuerdo a los lineaminentos establecios en la guia para la gestión y clasificacion de los activos de informacion- MINTIC, ley 1712 "&amp;"del 2014 y alineado con Dominio 8 Gestión de Activos del anexo A de la norma ISO 27001:2013.")</f>
        <v>AICI201801-5-1| Actualización del registro de los Activos de Información de la oficina de Sistemas de Información - TIC, de acuerdo a los lineaminentos establecios en la guia para la gestión y clasificacion de los activos de informacion- MINTIC, ley 1712 del 2014 y alineado con Dominio 8 Gestión de Activos del anexo A de la norma ISO 27001:2013.</v>
      </c>
      <c r="E8" s="0" t="str">
        <f aca="false">IFERROR(__xludf.dummyfunction("""COMPUTED_VALUE"""),"En proceso")</f>
        <v>En proceso</v>
      </c>
      <c r="F8" s="0" t="str">
        <f aca="false">IFERROR(__xludf.dummyfunction("""COMPUTED_VALUE"""),"En desarrollo")</f>
        <v>En desarrollo</v>
      </c>
    </row>
    <row r="9" customFormat="false" ht="12.75" hidden="false" customHeight="false" outlineLevel="0" collapsed="false">
      <c r="A9" s="0" t="str">
        <f aca="false">IFERROR(MID(D9,1,FIND("|",D9)-1)&amp;"-"&amp;C9,"")</f>
        <v>AICI201801-6-1-1</v>
      </c>
      <c r="B9" s="19" t="n">
        <f aca="false">IFERROR(__xludf.dummyfunction("""COMPUTED_VALUE"""),43528)</f>
        <v>43528</v>
      </c>
      <c r="C9" s="0" t="n">
        <f aca="false">IFERROR(__xludf.dummyfunction("""COMPUTED_VALUE"""),1)</f>
        <v>1</v>
      </c>
      <c r="D9" s="0" t="str">
        <f aca="false">IFERROR(__xludf.dummyfunction("""COMPUTED_VALUE"""),"AICI201801-6-1| Identificar y coinciliar el 100% de los activos informáticos organizacionales (hardware y software), teniendo en cuenta las carteras individuales y la configuración, de tal manera que se establezca una unica base de datos.")</f>
        <v>AICI201801-6-1| Identificar y coinciliar el 100% de los activos informáticos organizacionales (hardware y software), teniendo en cuenta las carteras individuales y la configuración, de tal manera que se establezca una unica base de datos.</v>
      </c>
      <c r="E9" s="0" t="str">
        <f aca="false">IFERROR(__xludf.dummyfunction("""COMPUTED_VALUE"""),"El área de sistemas realizó inventario de equipos de computo y licencias de software  para un total de 1645 maquinas, se depuró el licenciamiento y se solicitó la baja del software obsoleto. No se evidencia la conciliación con las carteras individuales re"&amp;"cursos físicos.")</f>
        <v>El área de sistemas realizó inventario de equipos de computo y licencias de software  para un total de 1645 maquinas, se depuró el licenciamiento y se solicitó la baja del software obsoleto. No se evidencia la conciliación con las carteras individuales recursos físicos.</v>
      </c>
      <c r="F9" s="0" t="str">
        <f aca="false">IFERROR(__xludf.dummyfunction("""COMPUTED_VALUE"""),"Atrasado")</f>
        <v>Atrasado</v>
      </c>
      <c r="G9" s="0" t="str">
        <f aca="false">IFERROR(__xludf.dummyfunction("""COMPUTED_VALUE"""),"https://drive.google.com/open?id=1jrgRvtGm94bItRHzyCIJAhXjgmKcVGyU, https://drive.google.com/open?id=1OhqS7zgHTTGsEpi0XDcEApCo1bZdPNm-, https://drive.google.com/open?id=1kcqXjvdGsficMn2PKMDpd80NAD9mcqOO")</f>
        <v>https://drive.google.com/open?id=1jrgRvtGm94bItRHzyCIJAhXjgmKcVGyU, https://drive.google.com/open?id=1OhqS7zgHTTGsEpi0XDcEApCo1bZdPNm-, https://drive.google.com/open?id=1kcqXjvdGsficMn2PKMDpd80NAD9mcqOO</v>
      </c>
    </row>
    <row r="10" customFormat="false" ht="12.75" hidden="false" customHeight="false" outlineLevel="0" collapsed="false">
      <c r="A10" s="0" t="str">
        <f aca="false">IFERROR(MID(D10,1,FIND("|",D10)-1)&amp;"-"&amp;C10,"")</f>
        <v>AICI201801-6-2-1</v>
      </c>
      <c r="B10" s="19" t="n">
        <f aca="false">IFERROR(__xludf.dummyfunction("""COMPUTED_VALUE"""),43528)</f>
        <v>43528</v>
      </c>
      <c r="C10" s="0" t="n">
        <f aca="false">IFERROR(__xludf.dummyfunction("""COMPUTED_VALUE"""),1)</f>
        <v>1</v>
      </c>
      <c r="D10" s="0" t="str">
        <f aca="false">IFERROR(__xludf.dummyfunction("""COMPUTED_VALUE"""),"AICI201801-6-2| Definir mecanismos para controlar las actividades del ciclo de vida (entrada, salida e intercambio) de equipos de computo hasta su disposición final.")</f>
        <v>AICI201801-6-2| Definir mecanismos para controlar las actividades del ciclo de vida (entrada, salida e intercambio) de equipos de computo hasta su disposición final.</v>
      </c>
      <c r="E10" s="0" t="str">
        <f aca="false">IFERROR(__xludf.dummyfunction("""COMPUTED_VALUE"""),"Sin actividad")</f>
        <v>Sin actividad</v>
      </c>
      <c r="F10" s="0" t="str">
        <f aca="false">IFERROR(__xludf.dummyfunction("""COMPUTED_VALUE"""),"No iniciado")</f>
        <v>No iniciado</v>
      </c>
    </row>
    <row r="11" customFormat="false" ht="12.75" hidden="false" customHeight="false" outlineLevel="0" collapsed="false">
      <c r="A11" s="0" t="str">
        <f aca="false">IFERROR(MID(D11,1,FIND("|",D11)-1)&amp;"-"&amp;C11,"")</f>
        <v>AICI201801-7-1-1</v>
      </c>
      <c r="B11" s="19" t="n">
        <f aca="false">IFERROR(__xludf.dummyfunction("""COMPUTED_VALUE"""),43528)</f>
        <v>43528</v>
      </c>
      <c r="C11" s="0" t="n">
        <f aca="false">IFERROR(__xludf.dummyfunction("""COMPUTED_VALUE"""),1)</f>
        <v>1</v>
      </c>
      <c r="D11" s="0" t="str">
        <f aca="false">IFERROR(__xludf.dummyfunction("""COMPUTED_VALUE"""),"AICI201801-7-1| Ajuste a los indicadores del proceso SI-C-01-01.")</f>
        <v>AICI201801-7-1| Ajuste a los indicadores del proceso SI-C-01-01.</v>
      </c>
      <c r="E11" s="0" t="str">
        <f aca="false">IFERROR(__xludf.dummyfunction("""COMPUTED_VALUE"""),"No se ha realizado actividad")</f>
        <v>No se ha realizado actividad</v>
      </c>
      <c r="F11" s="0" t="str">
        <f aca="false">IFERROR(__xludf.dummyfunction("""COMPUTED_VALUE"""),"No iniciado")</f>
        <v>No iniciado</v>
      </c>
    </row>
    <row r="12" customFormat="false" ht="12.75" hidden="false" customHeight="false" outlineLevel="0" collapsed="false">
      <c r="A12" s="0" t="str">
        <f aca="false">IFERROR(MID(D12,1,FIND("|",D12)-1)&amp;"-"&amp;C12,"")</f>
        <v>AICI201801-7-2-1</v>
      </c>
      <c r="B12" s="19" t="n">
        <f aca="false">IFERROR(__xludf.dummyfunction("""COMPUTED_VALUE"""),43528)</f>
        <v>43528</v>
      </c>
      <c r="C12" s="0" t="n">
        <f aca="false">IFERROR(__xludf.dummyfunction("""COMPUTED_VALUE"""),1)</f>
        <v>1</v>
      </c>
      <c r="D12" s="0" t="str">
        <f aca="false">IFERROR(__xludf.dummyfunction("""COMPUTED_VALUE"""),"AICI201801-7-2| Seguimiento al tablero de indicadores.")</f>
        <v>AICI201801-7-2| Seguimiento al tablero de indicadores.</v>
      </c>
      <c r="E12" s="0" t="str">
        <f aca="false">IFERROR(__xludf.dummyfunction("""COMPUTED_VALUE"""),"Actividad no iniciada")</f>
        <v>Actividad no iniciada</v>
      </c>
      <c r="F12" s="0" t="str">
        <f aca="false">IFERROR(__xludf.dummyfunction("""COMPUTED_VALUE"""),"Atrasado")</f>
        <v>Atrasado</v>
      </c>
    </row>
    <row r="13" customFormat="false" ht="12.75" hidden="false" customHeight="false" outlineLevel="0" collapsed="false">
      <c r="A13" s="0" t="str">
        <f aca="false">IFERROR(MID(D13,1,FIND("|",D13)-1)&amp;"-"&amp;C13,"")</f>
        <v>AICI201801-8-1-1</v>
      </c>
      <c r="B13" s="19" t="n">
        <f aca="false">IFERROR(__xludf.dummyfunction("""COMPUTED_VALUE"""),43528)</f>
        <v>43528</v>
      </c>
      <c r="C13" s="0" t="n">
        <f aca="false">IFERROR(__xludf.dummyfunction("""COMPUTED_VALUE"""),1)</f>
        <v>1</v>
      </c>
      <c r="D13" s="0" t="str">
        <f aca="false">IFERROR(__xludf.dummyfunction("""COMPUTED_VALUE"""),"AICI201801-8-1| Actualizar los procedimientos caracterizados.")</f>
        <v>AICI201801-8-1| Actualizar los procedimientos caracterizados.</v>
      </c>
      <c r="E13" s="0" t="str">
        <f aca="false">IFERROR(__xludf.dummyfunction("""COMPUTED_VALUE"""),"En desarrollo para ser entregado el 30 de marzo 2019")</f>
        <v>En desarrollo para ser entregado el 30 de marzo 2019</v>
      </c>
      <c r="F13" s="0" t="str">
        <f aca="false">IFERROR(__xludf.dummyfunction("""COMPUTED_VALUE"""),"En desarrollo")</f>
        <v>En desarrollo</v>
      </c>
    </row>
    <row r="14" customFormat="false" ht="12.75" hidden="false" customHeight="false" outlineLevel="0" collapsed="false">
      <c r="A14" s="0" t="str">
        <f aca="false">IFERROR(MID(D14,1,FIND("|",D14)-1)&amp;"-"&amp;C14,"")</f>
        <v>AICI201801-9-1-1</v>
      </c>
      <c r="B14" s="19" t="n">
        <f aca="false">IFERROR(__xludf.dummyfunction("""COMPUTED_VALUE"""),43528)</f>
        <v>43528</v>
      </c>
      <c r="C14" s="0" t="n">
        <f aca="false">IFERROR(__xludf.dummyfunction("""COMPUTED_VALUE"""),1)</f>
        <v>1</v>
      </c>
      <c r="D14" s="0" t="str">
        <f aca="false">IFERROR(__xludf.dummyfunction("""COMPUTED_VALUE"""),"AICI201801-9-1| Elaboración de los instructivos de servicios de: (Internet, Intranet, Pagina WEB, gestión de Servidores, Gestión de redes, Sistemas de información)")</f>
        <v>AICI201801-9-1| Elaboración de los instructivos de servicios de: (Internet, Intranet, Pagina WEB, gestión de Servidores, Gestión de redes, Sistemas de información)</v>
      </c>
      <c r="E14" s="0" t="str">
        <f aca="false">IFERROR(__xludf.dummyfunction("""COMPUTED_VALUE"""),"Se elaboraron los instructivos de los servicios informáticos Web, redes, servidores, sistemas de información y mesa de ayuda.")</f>
        <v>Se elaboraron los instructivos de los servicios informáticos Web, redes, servidores, sistemas de información y mesa de ayuda.</v>
      </c>
      <c r="F14" s="0" t="str">
        <f aca="false">IFERROR(__xludf.dummyfunction("""COMPUTED_VALUE"""),"Completo")</f>
        <v>Completo</v>
      </c>
      <c r="G14" s="0" t="str">
        <f aca="false">IFERROR(__xludf.dummyfunction("""COMPUTED_VALUE"""),"https://drive.google.com/open?id=1DHW7wXwihEMkD1yhUPrDAkNQ6SJgILN_, https://drive.google.com/open?id=1tIgr7Qj5dim8SKBsq02IZEkJ3JIii7uU, https://drive.google.com/open?id=11BdOTzeoUMGw98FCn1MFK5GKLloLCut0, https://drive.google.com/open?id=1VaA55MBfjic4udiKm"&amp;"IZmqy9uKOvjfbiP, https://drive.google.com/open?id=1Qthe9znxV2amGa3tw-PSjKs4ilRD8nIg")</f>
        <v>https://drive.google.com/open?id=1DHW7wXwihEMkD1yhUPrDAkNQ6SJgILN_, https://drive.google.com/open?id=1tIgr7Qj5dim8SKBsq02IZEkJ3JIii7uU, https://drive.google.com/open?id=11BdOTzeoUMGw98FCn1MFK5GKLloLCut0, https://drive.google.com/open?id=1VaA55MBfjic4udiKmIZmqy9uKOvjfbiP, https://drive.google.com/open?id=1Qthe9znxV2amGa3tw-PSjKs4ilRD8nIg</v>
      </c>
    </row>
    <row r="15" customFormat="false" ht="12.75" hidden="false" customHeight="false" outlineLevel="0" collapsed="false">
      <c r="A15" s="0" t="str">
        <f aca="false">IFERROR(MID(D15,1,FIND("|",D15)-1)&amp;"-"&amp;C15,"")</f>
        <v>AICI201801-10-1-1</v>
      </c>
      <c r="B15" s="19" t="n">
        <f aca="false">IFERROR(__xludf.dummyfunction("""COMPUTED_VALUE"""),43528)</f>
        <v>43528</v>
      </c>
      <c r="C15" s="0" t="n">
        <f aca="false">IFERROR(__xludf.dummyfunction("""COMPUTED_VALUE"""),1)</f>
        <v>1</v>
      </c>
      <c r="D15" s="0" t="str">
        <f aca="false">IFERROR(__xludf.dummyfunction("""COMPUTED_VALUE"""),"AICI201801-10-1| Actualizacion del Cronograma de de actividades de la implementación del Sistema de Información segun contrato 2824 de 2015.")</f>
        <v>AICI201801-10-1| Actualizacion del Cronograma de de actividades de la implementación del Sistema de Información segun contrato 2824 de 2015.</v>
      </c>
      <c r="E15" s="0" t="str">
        <f aca="false">IFERROR(__xludf.dummyfunction("""COMPUTED_VALUE"""),"Se realizó la actualización del cronograma ")</f>
        <v>Se realizó la actualización del cronograma </v>
      </c>
      <c r="F15" s="0" t="str">
        <f aca="false">IFERROR(__xludf.dummyfunction("""COMPUTED_VALUE"""),"Completo")</f>
        <v>Completo</v>
      </c>
      <c r="G15" s="0" t="str">
        <f aca="false">IFERROR(__xludf.dummyfunction("""COMPUTED_VALUE"""),"https://drive.google.com/open?id=11ydlci5dBJ7kC2R_4L1CTy8nVn5Y8Rsi, https://drive.google.com/open?id=14ADi3PD3kX8WQZ6pEWTWAPiHbSgVaMxU")</f>
        <v>https://drive.google.com/open?id=11ydlci5dBJ7kC2R_4L1CTy8nVn5Y8Rsi, https://drive.google.com/open?id=14ADi3PD3kX8WQZ6pEWTWAPiHbSgVaMxU</v>
      </c>
    </row>
    <row r="16" customFormat="false" ht="12.75" hidden="false" customHeight="false" outlineLevel="0" collapsed="false">
      <c r="A16" s="0" t="str">
        <f aca="false">IFERROR(MID(D16,1,FIND("|",D16)-1)&amp;"-"&amp;C16,"")</f>
        <v>AICI201801-11-1-1</v>
      </c>
      <c r="B16" s="19" t="n">
        <f aca="false">IFERROR(__xludf.dummyfunction("""COMPUTED_VALUE"""),43528)</f>
        <v>43528</v>
      </c>
      <c r="C16" s="0" t="n">
        <f aca="false">IFERROR(__xludf.dummyfunction("""COMPUTED_VALUE"""),1)</f>
        <v>1</v>
      </c>
      <c r="D16" s="0" t="str">
        <f aca="false">IFERROR(__xludf.dummyfunction("""COMPUTED_VALUE"""),"AICI201801-11-1| Entrega copia Certificado de Disponibilidad Presupuestal y Certificado de Registro Presupuestal")</f>
        <v>AICI201801-11-1| Entrega copia Certificado de Disponibilidad Presupuestal y Certificado de Registro Presupuestal</v>
      </c>
      <c r="E16" s="0" t="str">
        <f aca="false">IFERROR(__xludf.dummyfunction("""COMPUTED_VALUE"""),"El contrato 2824- 2016 continua con el desfinanciamiento")</f>
        <v>El contrato 2824- 2016 continua con el desfinanciamiento</v>
      </c>
      <c r="F16" s="0" t="str">
        <f aca="false">IFERROR(__xludf.dummyfunction("""COMPUTED_VALUE"""),"Atrasado")</f>
        <v>Atrasado</v>
      </c>
    </row>
    <row r="17" customFormat="false" ht="12.75" hidden="false" customHeight="false" outlineLevel="0" collapsed="false">
      <c r="A17" s="0" t="str">
        <f aca="false">IFERROR(MID(D17,1,FIND("|",D17)-1)&amp;"-"&amp;C17,"")</f>
        <v>AICI201801-12-1-1</v>
      </c>
      <c r="B17" s="19" t="n">
        <f aca="false">IFERROR(__xludf.dummyfunction("""COMPUTED_VALUE"""),43528)</f>
        <v>43528</v>
      </c>
      <c r="C17" s="0" t="n">
        <f aca="false">IFERROR(__xludf.dummyfunction("""COMPUTED_VALUE"""),1)</f>
        <v>1</v>
      </c>
      <c r="D17" s="0" t="str">
        <f aca="false">IFERROR(__xludf.dummyfunction("""COMPUTED_VALUE"""),"AICI201801-12-1| Actualizacion del Cronograma de de actividades de la implementación del Sistema de Información segun contrato 2824 de 2015.")</f>
        <v>AICI201801-12-1| Actualizacion del Cronograma de de actividades de la implementación del Sistema de Información segun contrato 2824 de 2015.</v>
      </c>
      <c r="E17" s="0" t="str">
        <f aca="false">IFERROR(__xludf.dummyfunction("""COMPUTED_VALUE"""),"Se encuentra soportada en la acción AICI201801-10-1")</f>
        <v>Se encuentra soportada en la acción AICI201801-10-1</v>
      </c>
      <c r="F17" s="0" t="str">
        <f aca="false">IFERROR(__xludf.dummyfunction("""COMPUTED_VALUE"""),"Completo")</f>
        <v>Completo</v>
      </c>
      <c r="G17" s="0" t="str">
        <f aca="false">IFERROR(__xludf.dummyfunction("""COMPUTED_VALUE"""),"https://drive.google.com/open?id=11ydlci5dBJ7kC2R_4L1CTy8nVn5Y8Rsi, https://drive.google.com/open?id=14ADi3PD3kX8WQZ6pEWTWAPiHbSgVaMxU")</f>
        <v>https://drive.google.com/open?id=11ydlci5dBJ7kC2R_4L1CTy8nVn5Y8Rsi, https://drive.google.com/open?id=14ADi3PD3kX8WQZ6pEWTWAPiHbSgVaMxU</v>
      </c>
    </row>
    <row r="18" customFormat="false" ht="12.75" hidden="false" customHeight="false" outlineLevel="0" collapsed="false">
      <c r="A18" s="0" t="str">
        <f aca="false">IFERROR(MID(D18,1,FIND("|",D18)-1)&amp;"-"&amp;C18,"")</f>
        <v>AICI201801-12-2-1</v>
      </c>
      <c r="B18" s="19" t="n">
        <f aca="false">IFERROR(__xludf.dummyfunction("""COMPUTED_VALUE"""),43528)</f>
        <v>43528</v>
      </c>
      <c r="C18" s="0" t="n">
        <f aca="false">IFERROR(__xludf.dummyfunction("""COMPUTED_VALUE"""),1)</f>
        <v>1</v>
      </c>
      <c r="D18" s="0" t="str">
        <f aca="false">IFERROR(__xludf.dummyfunction("""COMPUTED_VALUE"""),"AICI201801-12-2| Determinar las actividades que poseen retraso y fijar una ruta crítica para equilibrar la ejecución del proyecto.")</f>
        <v>AICI201801-12-2| Determinar las actividades que poseen retraso y fijar una ruta crítica para equilibrar la ejecución del proyecto.</v>
      </c>
      <c r="E18" s="0" t="str">
        <f aca="false">IFERROR(__xludf.dummyfunction("""COMPUTED_VALUE"""),"Sin actividad")</f>
        <v>Sin actividad</v>
      </c>
      <c r="F18" s="0" t="str">
        <f aca="false">IFERROR(__xludf.dummyfunction("""COMPUTED_VALUE"""),"Atrasado")</f>
        <v>Atrasado</v>
      </c>
    </row>
    <row r="19" customFormat="false" ht="12.75" hidden="false" customHeight="false" outlineLevel="0" collapsed="false">
      <c r="A19" s="0" t="str">
        <f aca="false">IFERROR(MID(D19,1,FIND("|",D19)-1)&amp;"-"&amp;C19,"")</f>
        <v>AICI201801-13-1-1</v>
      </c>
      <c r="B19" s="19" t="n">
        <f aca="false">IFERROR(__xludf.dummyfunction("""COMPUTED_VALUE"""),43528)</f>
        <v>43528</v>
      </c>
      <c r="C19" s="0" t="n">
        <f aca="false">IFERROR(__xludf.dummyfunction("""COMPUTED_VALUE"""),1)</f>
        <v>1</v>
      </c>
      <c r="D19" s="0" t="str">
        <f aca="false">IFERROR(__xludf.dummyfunction("""COMPUTED_VALUE"""),"AICI201801-13-1| Hacer seguimiento a los ANS del proveedor Carvajal SAS y exigir su cumplimiento. Para futuros servicios contratados se debe establecer conjuntamente el ANS.")</f>
        <v>AICI201801-13-1| Hacer seguimiento a los ANS del proveedor Carvajal SAS y exigir su cumplimiento. Para futuros servicios contratados se debe establecer conjuntamente el ANS.</v>
      </c>
      <c r="E19" s="0" t="str">
        <f aca="false">IFERROR(__xludf.dummyfunction("""COMPUTED_VALUE"""),"Existen informes por parte del proveedor, no obstante no se evidencia seguimiento a los ANS por parte de Sistemas.")</f>
        <v>Existen informes por parte del proveedor, no obstante no se evidencia seguimiento a los ANS por parte de Sistemas.</v>
      </c>
      <c r="F19" s="0" t="str">
        <f aca="false">IFERROR(__xludf.dummyfunction("""COMPUTED_VALUE"""),"Atrasado")</f>
        <v>Atrasado</v>
      </c>
    </row>
    <row r="20" customFormat="false" ht="12.75" hidden="false" customHeight="false" outlineLevel="0" collapsed="false">
      <c r="A20" s="0" t="str">
        <f aca="false">IFERROR(MID(D20,1,FIND("|",D20)-1)&amp;"-"&amp;C20,"")</f>
        <v>AICI201801-14-1-1</v>
      </c>
      <c r="B20" s="19" t="n">
        <f aca="false">IFERROR(__xludf.dummyfunction("""COMPUTED_VALUE"""),43531)</f>
        <v>43531</v>
      </c>
      <c r="C20" s="0" t="n">
        <f aca="false">IFERROR(__xludf.dummyfunction("""COMPUTED_VALUE"""),1)</f>
        <v>1</v>
      </c>
      <c r="D20" s="0" t="str">
        <f aca="false">IFERROR(__xludf.dummyfunction("""COMPUTED_VALUE"""),"AICI201801-14-1| Reevaluación de la ponderación de los riesgos durante el 4 trimestre de 2018. Para nuevos proyectos similares hacer hacer análisis riguroso de los riesgos y su seguimiento.")</f>
        <v>AICI201801-14-1| Reevaluación de la ponderación de los riesgos durante el 4 trimestre de 2018. Para nuevos proyectos similares hacer hacer análisis riguroso de los riesgos y su seguimiento.</v>
      </c>
      <c r="E20" s="0" t="str">
        <f aca="false">IFERROR(__xludf.dummyfunction("""COMPUTED_VALUE"""),"Se realizó la reevalución de los riesgos del proyecto")</f>
        <v>Se realizó la reevalución de los riesgos del proyecto</v>
      </c>
      <c r="F20" s="0" t="str">
        <f aca="false">IFERROR(__xludf.dummyfunction("""COMPUTED_VALUE"""),"Completo")</f>
        <v>Completo</v>
      </c>
      <c r="G20" s="20" t="str">
        <f aca="false">IFERROR(__xludf.dummyfunction("""COMPUTED_VALUE"""),"https://drive.google.com/open?id=11vcmhGbnba87vNAY77K_mtrMcD0sllSp")</f>
        <v>https://drive.google.com/open?id=11vcmhGbnba87vNAY77K_mtrMcD0sllSp</v>
      </c>
    </row>
    <row r="21" customFormat="false" ht="12.75" hidden="false" customHeight="false" outlineLevel="0" collapsed="false">
      <c r="A21" s="0" t="str">
        <f aca="false">IFERROR(MID(D21,1,FIND("|",D21)-1)&amp;"-"&amp;C21,"")</f>
        <v>AICI201801-15-1-1</v>
      </c>
      <c r="B21" s="19" t="n">
        <f aca="false">IFERROR(__xludf.dummyfunction("""COMPUTED_VALUE"""),43531)</f>
        <v>43531</v>
      </c>
      <c r="C21" s="0" t="n">
        <f aca="false">IFERROR(__xludf.dummyfunction("""COMPUTED_VALUE"""),1)</f>
        <v>1</v>
      </c>
      <c r="D21" s="0" t="str">
        <f aca="false">IFERROR(__xludf.dummyfunction("""COMPUTED_VALUE"""),"AICI201801-15-1| Realizar evalución de controles y medidas para los riesgos definidos, fortaleciendola y reevaluando los riesgos residuales.")</f>
        <v>AICI201801-15-1| Realizar evalución de controles y medidas para los riesgos definidos, fortaleciendola y reevaluando los riesgos residuales.</v>
      </c>
      <c r="E21" s="0" t="str">
        <f aca="false">IFERROR(__xludf.dummyfunction("""COMPUTED_VALUE"""),"Se aplican las medidas y controles para la reducción del riesgo, logrando una dismunución en los riesgos materializados. Se adjunta informe")</f>
        <v>Se aplican las medidas y controles para la reducción del riesgo, logrando una dismunución en los riesgos materializados. Se adjunta informe</v>
      </c>
      <c r="F21" s="0" t="str">
        <f aca="false">IFERROR(__xludf.dummyfunction("""COMPUTED_VALUE"""),"Completo")</f>
        <v>Completo</v>
      </c>
      <c r="G21" s="20" t="str">
        <f aca="false">IFERROR(__xludf.dummyfunction("""COMPUTED_VALUE"""),"https://drive.google.com/open?id=1RgR8iXwR8S6IPzOBingb4UI74Pir13l1")</f>
        <v>https://drive.google.com/open?id=1RgR8iXwR8S6IPzOBingb4UI74Pir13l1</v>
      </c>
    </row>
    <row r="22" customFormat="false" ht="12.75" hidden="false" customHeight="false" outlineLevel="0" collapsed="false">
      <c r="A22" s="0" t="str">
        <f aca="false">IFERROR(MID(D22,1,FIND("|",D22)-1)&amp;"-"&amp;C22,"")</f>
        <v>AICI201801-10-2-1</v>
      </c>
      <c r="B22" s="19" t="n">
        <f aca="false">IFERROR(__xludf.dummyfunction("""COMPUTED_VALUE"""),43528)</f>
        <v>43528</v>
      </c>
      <c r="C22" s="0" t="n">
        <f aca="false">IFERROR(__xludf.dummyfunction("""COMPUTED_VALUE"""),1)</f>
        <v>1</v>
      </c>
      <c r="D22" s="0" t="str">
        <f aca="false">IFERROR(__xludf.dummyfunction("""COMPUTED_VALUE"""),"AICI201801-10-2| Determinar las actividades que poseen retraso y fijar una ruta crítica para equilibrar la ejecución del proyecto.")</f>
        <v>AICI201801-10-2| Determinar las actividades que poseen retraso y fijar una ruta crítica para equilibrar la ejecución del proyecto.</v>
      </c>
      <c r="E22" s="0" t="str">
        <f aca="false">IFERROR(__xludf.dummyfunction("""COMPUTED_VALUE"""),"No se realizó la actividad")</f>
        <v>No se realizó la actividad</v>
      </c>
      <c r="F22" s="0" t="str">
        <f aca="false">IFERROR(__xludf.dummyfunction("""COMPUTED_VALUE"""),"Atrasado")</f>
        <v>Atrasado</v>
      </c>
    </row>
    <row r="23" customFormat="false" ht="12.75" hidden="false" customHeight="false" outlineLevel="0" collapsed="false">
      <c r="A23" s="0" t="str">
        <f aca="false">IFERROR(MID(D23,1,FIND("|",D23)-1)&amp;"-"&amp;C23,"")</f>
        <v>AICI201801-1-1-2</v>
      </c>
      <c r="B23" s="19" t="n">
        <f aca="false">IFERROR(__xludf.dummyfunction("""COMPUTED_VALUE"""),43698)</f>
        <v>43698</v>
      </c>
      <c r="C23" s="0" t="n">
        <f aca="false">IFERROR(__xludf.dummyfunction("""COMPUTED_VALUE"""),2)</f>
        <v>2</v>
      </c>
      <c r="D23" s="0" t="str">
        <f aca="false">IFERROR(__xludf.dummyfunction("""COMPUTED_VALUE"""),"AICI201801-1-1| Revisar y actualizar diagnostico de TICS según Mintic con la metodología IT4+ y actualizar los documentos referenciados en este.")</f>
        <v>AICI201801-1-1| Revisar y actualizar diagnostico de TICS según Mintic con la metodología IT4+ y actualizar los documentos referenciados en este.</v>
      </c>
      <c r="E23" s="0" t="str">
        <f aca="false">IFERROR(__xludf.dummyfunction("""COMPUTED_VALUE"""),"Se encuentra en proceso de actualización según metodología IT4+.  Se ha avanzado en catalogo de servicios, proyectos, documento PETI el cual se encuentra en normalización.  Pendiente plan de comunicaciones ")</f>
        <v>Se encuentra en proceso de actualización según metodología IT4+.  Se ha avanzado en catalogo de servicios, proyectos, documento PETI el cual se encuentra en normalización.  Pendiente plan de comunicaciones </v>
      </c>
      <c r="F23" s="0" t="str">
        <f aca="false">IFERROR(__xludf.dummyfunction("""COMPUTED_VALUE"""),"Atrasado")</f>
        <v>Atrasado</v>
      </c>
      <c r="G23" s="0" t="str">
        <f aca="false">IFERROR(__xludf.dummyfunction("""COMPUTED_VALUE"""),"https://drive.google.com/open?id=1qm4TNbLa6o-BmCCIkoMfM1wH8G_8pmFn, https://drive.google.com/open?id=1eJ1lRtkdolsBltCMp3z3fTqz-ypp0J5i")</f>
        <v>https://drive.google.com/open?id=1qm4TNbLa6o-BmCCIkoMfM1wH8G_8pmFn, https://drive.google.com/open?id=1eJ1lRtkdolsBltCMp3z3fTqz-ypp0J5i</v>
      </c>
    </row>
    <row r="24" customFormat="false" ht="12.75" hidden="false" customHeight="false" outlineLevel="0" collapsed="false">
      <c r="A24" s="0" t="str">
        <f aca="false">IFERROR(MID(D24,1,FIND("|",D24)-1)&amp;"-"&amp;C24,"")</f>
        <v>AICI201801-2-1-2</v>
      </c>
      <c r="B24" s="19" t="n">
        <f aca="false">IFERROR(__xludf.dummyfunction("""COMPUTED_VALUE"""),43698)</f>
        <v>43698</v>
      </c>
      <c r="C24" s="0" t="n">
        <f aca="false">IFERROR(__xludf.dummyfunction("""COMPUTED_VALUE"""),2)</f>
        <v>2</v>
      </c>
      <c r="D24" s="0" t="str">
        <f aca="false">IFERROR(__xludf.dummyfunction("""COMPUTED_VALUE"""),"AICI201801-2-1| Actualización del PETI, de acuerdo a lo establecido en la Resolución 004 de 2017 y directrices impartidas por parte de MINTIC.")</f>
        <v>AICI201801-2-1| Actualización del PETI, de acuerdo a lo establecido en la Resolución 004 de 2017 y directrices impartidas por parte de MINTIC.</v>
      </c>
      <c r="E24" s="0" t="str">
        <f aca="false">IFERROR(__xludf.dummyfunction("""COMPUTED_VALUE"""),"el documento PETI se encuentra en normalización")</f>
        <v>el documento PETI se encuentra en normalización</v>
      </c>
      <c r="F24" s="0" t="str">
        <f aca="false">IFERROR(__xludf.dummyfunction("""COMPUTED_VALUE"""),"En desarrollo")</f>
        <v>En desarrollo</v>
      </c>
      <c r="G24" s="0" t="str">
        <f aca="false">IFERROR(__xludf.dummyfunction("""COMPUTED_VALUE"""),"https://drive.google.com/open?id=1rOrcglmgcs0CQRSg7C2Mqwm4rdP2ir_Y, https://drive.google.com/open?id=1LzJhbXcua0zSUMw2WCE-n6JSAmftzxpP")</f>
        <v>https://drive.google.com/open?id=1rOrcglmgcs0CQRSg7C2Mqwm4rdP2ir_Y, https://drive.google.com/open?id=1LzJhbXcua0zSUMw2WCE-n6JSAmftzxpP</v>
      </c>
    </row>
    <row r="25" customFormat="false" ht="12.75" hidden="false" customHeight="false" outlineLevel="0" collapsed="false">
      <c r="A25" s="0" t="str">
        <f aca="false">IFERROR(MID(D25,1,FIND("|",D25)-1)&amp;"-"&amp;C25,"")</f>
        <v>AICI201801-3-1-2</v>
      </c>
      <c r="B25" s="19" t="n">
        <f aca="false">IFERROR(__xludf.dummyfunction("""COMPUTED_VALUE"""),43698)</f>
        <v>43698</v>
      </c>
      <c r="C25" s="0" t="n">
        <f aca="false">IFERROR(__xludf.dummyfunction("""COMPUTED_VALUE"""),2)</f>
        <v>2</v>
      </c>
      <c r="D25" s="0" t="str">
        <f aca="false">IFERROR(__xludf.dummyfunction("""COMPUTED_VALUE"""),"AICI201801-3-1| Realizar seguimiento a la ejecución del plan de compras del area de Sistemas de Información - TIC, a traves de indicadores, ajustandolo con el plan de compras institucional.")</f>
        <v>AICI201801-3-1| Realizar seguimiento a la ejecución del plan de compras del area de Sistemas de Información - TIC, a traves de indicadores, ajustandolo con el plan de compras institucional.</v>
      </c>
      <c r="E25" s="0" t="str">
        <f aca="false">IFERROR(__xludf.dummyfunction("""COMPUTED_VALUE"""),"Se evidencia seguimiento a la ejecución del plan de compras al igual que indicadores de seguimiento")</f>
        <v>Se evidencia seguimiento a la ejecución del plan de compras al igual que indicadores de seguimiento</v>
      </c>
      <c r="F25" s="0" t="str">
        <f aca="false">IFERROR(__xludf.dummyfunction("""COMPUTED_VALUE"""),"Completo")</f>
        <v>Completo</v>
      </c>
    </row>
    <row r="26" customFormat="false" ht="12.75" hidden="false" customHeight="false" outlineLevel="0" collapsed="false">
      <c r="A26" s="0" t="str">
        <f aca="false">IFERROR(MID(D26,1,FIND("|",D26)-1)&amp;"-"&amp;C26,"")</f>
        <v>AICI201801-4-1-2</v>
      </c>
      <c r="B26" s="19" t="n">
        <f aca="false">IFERROR(__xludf.dummyfunction("""COMPUTED_VALUE"""),43698)</f>
        <v>43698</v>
      </c>
      <c r="C26" s="0" t="n">
        <f aca="false">IFERROR(__xludf.dummyfunction("""COMPUTED_VALUE"""),2)</f>
        <v>2</v>
      </c>
      <c r="D26" s="0" t="str">
        <f aca="false">IFERROR(__xludf.dummyfunction("""COMPUTED_VALUE"""),"AICI201801-4-1| Actualización del cronograma de simulacros y Realización de simulacros para el Plan de Contingencia de los Sistemas de Información para el segundo semestre de 2018 y ajuste y hay lugar.")</f>
        <v>AICI201801-4-1| Actualización del cronograma de simulacros y Realización de simulacros para el Plan de Contingencia de los Sistemas de Información para el segundo semestre de 2018 y ajuste y hay lugar.</v>
      </c>
      <c r="E26" s="0" t="str">
        <f aca="false">IFERROR(__xludf.dummyfunction("""COMPUTED_VALUE"""),"Se evidencian actas e informes de pruebas al plan de contingencia de TICs")</f>
        <v>Se evidencian actas e informes de pruebas al plan de contingencia de TICs</v>
      </c>
      <c r="F26" s="0" t="str">
        <f aca="false">IFERROR(__xludf.dummyfunction("""COMPUTED_VALUE"""),"Completo")</f>
        <v>Completo</v>
      </c>
    </row>
    <row r="27" customFormat="false" ht="12.75" hidden="false" customHeight="false" outlineLevel="0" collapsed="false">
      <c r="A27" s="0" t="str">
        <f aca="false">IFERROR(MID(D27,1,FIND("|",D27)-1)&amp;"-"&amp;C27,"")</f>
        <v>AICI201801-5-1-2</v>
      </c>
      <c r="B27" s="19" t="n">
        <f aca="false">IFERROR(__xludf.dummyfunction("""COMPUTED_VALUE"""),43698)</f>
        <v>43698</v>
      </c>
      <c r="C27" s="0" t="n">
        <f aca="false">IFERROR(__xludf.dummyfunction("""COMPUTED_VALUE"""),2)</f>
        <v>2</v>
      </c>
      <c r="D27" s="0" t="str">
        <f aca="false">IFERROR(__xludf.dummyfunction("""COMPUTED_VALUE"""),"AICI201801-5-1| Actualización del registro de los Activos de Información de la oficina de Sistemas de Información - TIC, de acuerdo a los lineaminentos establecios en la guia para la gestión y clasificacion de los activos de informacion- MINTIC, ley 1712 "&amp;"del 2014 y alineado con Dominio 8 Gestión de Activos del anexo A de la norma ISO 27001:2013.")</f>
        <v>AICI201801-5-1| Actualización del registro de los Activos de Información de la oficina de Sistemas de Información - TIC, de acuerdo a los lineaminentos establecios en la guia para la gestión y clasificacion de los activos de informacion- MINTIC, ley 1712 del 2014 y alineado con Dominio 8 Gestión de Activos del anexo A de la norma ISO 27001:2013.</v>
      </c>
      <c r="E27" s="0" t="str">
        <f aca="false">IFERROR(__xludf.dummyfunction("""COMPUTED_VALUE"""),"Se cuenta con un documento de inventario de activos de información, sin embargo falta detallar y re clasificar activos.  Adicionalmente no contiene los activos documentales.")</f>
        <v>Se cuenta con un documento de inventario de activos de información, sin embargo falta detallar y re clasificar activos.  Adicionalmente no contiene los activos documentales.</v>
      </c>
      <c r="F27" s="0" t="str">
        <f aca="false">IFERROR(__xludf.dummyfunction("""COMPUTED_VALUE"""),"En desarrollo")</f>
        <v>En desarrollo</v>
      </c>
      <c r="G27" s="20" t="str">
        <f aca="false">IFERROR(__xludf.dummyfunction("""COMPUTED_VALUE"""),"https://drive.google.com/open?id=1Y_nc2Mjn0SBIZi9bNw3A-l8nqvt5zsx_")</f>
        <v>https://drive.google.com/open?id=1Y_nc2Mjn0SBIZi9bNw3A-l8nqvt5zsx_</v>
      </c>
    </row>
    <row r="28" customFormat="false" ht="12.75" hidden="false" customHeight="false" outlineLevel="0" collapsed="false">
      <c r="A28" s="0" t="str">
        <f aca="false">IFERROR(MID(D28,1,FIND("|",D28)-1)&amp;"-"&amp;C28,"")</f>
        <v>AICI201801-6-1-2</v>
      </c>
      <c r="B28" s="19" t="n">
        <f aca="false">IFERROR(__xludf.dummyfunction("""COMPUTED_VALUE"""),43698)</f>
        <v>43698</v>
      </c>
      <c r="C28" s="0" t="n">
        <f aca="false">IFERROR(__xludf.dummyfunction("""COMPUTED_VALUE"""),2)</f>
        <v>2</v>
      </c>
      <c r="D28" s="0" t="str">
        <f aca="false">IFERROR(__xludf.dummyfunction("""COMPUTED_VALUE"""),"AICI201801-6-1| Identificar y coinciliar el 100% de los activos informáticos organizacionales (hardware y software), teniendo en cuenta las carteras individuales y la configuración, de tal manera que se establezca una unica base de datos.")</f>
        <v>AICI201801-6-1| Identificar y coinciliar el 100% de los activos informáticos organizacionales (hardware y software), teniendo en cuenta las carteras individuales y la configuración, de tal manera que se establezca una unica base de datos.</v>
      </c>
      <c r="E28" s="0" t="str">
        <f aca="false">IFERROR(__xludf.dummyfunction("""COMPUTED_VALUE"""),"El área de sistemas realizó levantamiento de inventario físico de equipos de computo y solicitó conciliación con Recursos físicos; no obstante la actividad de  conciliación con información administrativa no se ha realizado.")</f>
        <v>El área de sistemas realizó levantamiento de inventario físico de equipos de computo y solicitó conciliación con Recursos físicos; no obstante la actividad de  conciliación con información administrativa no se ha realizado.</v>
      </c>
      <c r="F28" s="0" t="str">
        <f aca="false">IFERROR(__xludf.dummyfunction("""COMPUTED_VALUE"""),"Atrasado")</f>
        <v>Atrasado</v>
      </c>
      <c r="G28" s="0" t="str">
        <f aca="false">IFERROR(__xludf.dummyfunction("""COMPUTED_VALUE"""),"https://drive.google.com/open?id=1mg1XFO4ptHH3yncwHWWwkiVCHXaUr5P1, https://drive.google.com/open?id=15nEdWHJFHRaouTRSgg1GlMkGLFb7vWV4")</f>
        <v>https://drive.google.com/open?id=1mg1XFO4ptHH3yncwHWWwkiVCHXaUr5P1, https://drive.google.com/open?id=15nEdWHJFHRaouTRSgg1GlMkGLFb7vWV4</v>
      </c>
    </row>
    <row r="29" customFormat="false" ht="12.75" hidden="false" customHeight="false" outlineLevel="0" collapsed="false">
      <c r="A29" s="0" t="str">
        <f aca="false">IFERROR(MID(D29,1,FIND("|",D29)-1)&amp;"-"&amp;C29,"")</f>
        <v>AICI201801-6-2-2</v>
      </c>
      <c r="B29" s="19" t="n">
        <f aca="false">IFERROR(__xludf.dummyfunction("""COMPUTED_VALUE"""),43698)</f>
        <v>43698</v>
      </c>
      <c r="C29" s="0" t="n">
        <f aca="false">IFERROR(__xludf.dummyfunction("""COMPUTED_VALUE"""),2)</f>
        <v>2</v>
      </c>
      <c r="D29" s="0" t="str">
        <f aca="false">IFERROR(__xludf.dummyfunction("""COMPUTED_VALUE"""),"AICI201801-6-2| Definir mecanismos para controlar las actividades del ciclo de vida (entrada, salida e intercambio) de equipos de computo hasta su disposición final.")</f>
        <v>AICI201801-6-2| Definir mecanismos para controlar las actividades del ciclo de vida (entrada, salida e intercambio) de equipos de computo hasta su disposición final.</v>
      </c>
      <c r="E29" s="0" t="str">
        <f aca="false">IFERROR(__xludf.dummyfunction("""COMPUTED_VALUE"""),"El documento RAEE  Residuos de Aparatos Eléctricos y Electrónicos, el cual determina la disposición final de los equipos electrónicos.  No obstante, no define el control de equipos de computo, minimizando el riesgo de perdida y/o deterioro..")</f>
        <v>El documento RAEE  Residuos de Aparatos Eléctricos y Electrónicos, el cual determina la disposición final de los equipos electrónicos.  No obstante, no define el control de equipos de computo, minimizando el riesgo de perdida y/o deterioro..</v>
      </c>
      <c r="F29" s="0" t="str">
        <f aca="false">IFERROR(__xludf.dummyfunction("""COMPUTED_VALUE"""),"En desarrollo")</f>
        <v>En desarrollo</v>
      </c>
      <c r="G29" s="20" t="str">
        <f aca="false">IFERROR(__xludf.dummyfunction("""COMPUTED_VALUE"""),"https://drive.google.com/open?id=1fKIYPobRwEuaFQP6-H1kxFuK58YKhk_A")</f>
        <v>https://drive.google.com/open?id=1fKIYPobRwEuaFQP6-H1kxFuK58YKhk_A</v>
      </c>
    </row>
    <row r="30" customFormat="false" ht="12.75" hidden="false" customHeight="false" outlineLevel="0" collapsed="false">
      <c r="A30" s="0" t="str">
        <f aca="false">IFERROR(MID(D30,1,FIND("|",D30)-1)&amp;"-"&amp;C30,"")</f>
        <v>AICI201801-7-1-2</v>
      </c>
      <c r="B30" s="19" t="n">
        <f aca="false">IFERROR(__xludf.dummyfunction("""COMPUTED_VALUE"""),43698)</f>
        <v>43698</v>
      </c>
      <c r="C30" s="0" t="n">
        <f aca="false">IFERROR(__xludf.dummyfunction("""COMPUTED_VALUE"""),2)</f>
        <v>2</v>
      </c>
      <c r="D30" s="0" t="str">
        <f aca="false">IFERROR(__xludf.dummyfunction("""COMPUTED_VALUE"""),"AICI201801-7-1| Ajuste a los indicadores del proceso SI-C-01-01.")</f>
        <v>AICI201801-7-1| Ajuste a los indicadores del proceso SI-C-01-01.</v>
      </c>
      <c r="E30" s="0" t="str">
        <f aca="false">IFERROR(__xludf.dummyfunction("""COMPUTED_VALUE"""),"Se adelantan actividades de revisión y actualización ")</f>
        <v>Se adelantan actividades de revisión y actualización </v>
      </c>
      <c r="F30" s="0" t="str">
        <f aca="false">IFERROR(__xludf.dummyfunction("""COMPUTED_VALUE"""),"Atrasado")</f>
        <v>Atrasado</v>
      </c>
    </row>
    <row r="31" customFormat="false" ht="12.75" hidden="false" customHeight="false" outlineLevel="0" collapsed="false">
      <c r="A31" s="0" t="str">
        <f aca="false">IFERROR(MID(D31,1,FIND("|",D31)-1)&amp;"-"&amp;C31,"")</f>
        <v>AICI201801-7-2-2</v>
      </c>
      <c r="B31" s="19" t="n">
        <f aca="false">IFERROR(__xludf.dummyfunction("""COMPUTED_VALUE"""),43698)</f>
        <v>43698</v>
      </c>
      <c r="C31" s="0" t="n">
        <f aca="false">IFERROR(__xludf.dummyfunction("""COMPUTED_VALUE"""),2)</f>
        <v>2</v>
      </c>
      <c r="D31" s="0" t="str">
        <f aca="false">IFERROR(__xludf.dummyfunction("""COMPUTED_VALUE"""),"AICI201801-7-2| Seguimiento al tablero de indicadores.")</f>
        <v>AICI201801-7-2| Seguimiento al tablero de indicadores.</v>
      </c>
      <c r="E31" s="0" t="str">
        <f aca="false">IFERROR(__xludf.dummyfunction("""COMPUTED_VALUE"""),"No se cuenta con tablero de indicadores al proceso SI-C-01-0.  Se adelanta un tablero de indicadores para el seguimiento de la política TIC, el cual debe ser revisado, en cuanto a que tiene errores en formulación ")</f>
        <v>No se cuenta con tablero de indicadores al proceso SI-C-01-0.  Se adelanta un tablero de indicadores para el seguimiento de la política TIC, el cual debe ser revisado, en cuanto a que tiene errores en formulación </v>
      </c>
      <c r="F31" s="0" t="str">
        <f aca="false">IFERROR(__xludf.dummyfunction("""COMPUTED_VALUE"""),"Atrasado")</f>
        <v>Atrasado</v>
      </c>
      <c r="G31" s="20" t="str">
        <f aca="false">IFERROR(__xludf.dummyfunction("""COMPUTED_VALUE"""),"https://drive.google.com/open?id=17_ijv3nNzkIa0Rj4B_nXLZ2uKs7LBpQ9")</f>
        <v>https://drive.google.com/open?id=17_ijv3nNzkIa0Rj4B_nXLZ2uKs7LBpQ9</v>
      </c>
    </row>
    <row r="32" customFormat="false" ht="12.75" hidden="false" customHeight="false" outlineLevel="0" collapsed="false">
      <c r="A32" s="0" t="str">
        <f aca="false">IFERROR(MID(D32,1,FIND("|",D32)-1)&amp;"-"&amp;C32,"")</f>
        <v>AICI201801-8-1-2</v>
      </c>
      <c r="B32" s="19" t="n">
        <f aca="false">IFERROR(__xludf.dummyfunction("""COMPUTED_VALUE"""),43698)</f>
        <v>43698</v>
      </c>
      <c r="C32" s="0" t="n">
        <f aca="false">IFERROR(__xludf.dummyfunction("""COMPUTED_VALUE"""),2)</f>
        <v>2</v>
      </c>
      <c r="D32" s="0" t="str">
        <f aca="false">IFERROR(__xludf.dummyfunction("""COMPUTED_VALUE"""),"AICI201801-8-1| Actualizar los procedimientos caracterizados.")</f>
        <v>AICI201801-8-1| Actualizar los procedimientos caracterizados.</v>
      </c>
      <c r="E32" s="0" t="str">
        <f aca="false">IFERROR(__xludf.dummyfunction("""COMPUTED_VALUE"""),"No se han actualizado")</f>
        <v>No se han actualizado</v>
      </c>
      <c r="F32" s="0" t="str">
        <f aca="false">IFERROR(__xludf.dummyfunction("""COMPUTED_VALUE"""),"Atrasado")</f>
        <v>Atrasado</v>
      </c>
    </row>
    <row r="33" customFormat="false" ht="12.75" hidden="false" customHeight="false" outlineLevel="0" collapsed="false">
      <c r="A33" s="0" t="str">
        <f aca="false">IFERROR(MID(D33,1,FIND("|",D33)-1)&amp;"-"&amp;C33,"")</f>
        <v>AICI201801-9-1-2</v>
      </c>
      <c r="B33" s="19" t="n">
        <f aca="false">IFERROR(__xludf.dummyfunction("""COMPUTED_VALUE"""),43699)</f>
        <v>43699</v>
      </c>
      <c r="C33" s="0" t="n">
        <f aca="false">IFERROR(__xludf.dummyfunction("""COMPUTED_VALUE"""),2)</f>
        <v>2</v>
      </c>
      <c r="D33" s="0" t="str">
        <f aca="false">IFERROR(__xludf.dummyfunction("""COMPUTED_VALUE"""),"AICI201801-9-1| Elaboración de los instructivos de servicios de: (Internet, Intranet, Pagina WEB, gestión de Servidores, Gestión de redes, Sistemas de información)")</f>
        <v>AICI201801-9-1| Elaboración de los instructivos de servicios de: (Internet, Intranet, Pagina WEB, gestión de Servidores, Gestión de redes, Sistemas de información)</v>
      </c>
      <c r="E33" s="0" t="str">
        <f aca="false">IFERROR(__xludf.dummyfunction("""COMPUTED_VALUE"""),"Se evidencia la elaboración, normalización y publicación de instructivos de los servicios informáticos")</f>
        <v>Se evidencia la elaboración, normalización y publicación de instructivos de los servicios informáticos</v>
      </c>
      <c r="F33" s="0" t="str">
        <f aca="false">IFERROR(__xludf.dummyfunction("""COMPUTED_VALUE"""),"Completo")</f>
        <v>Completo</v>
      </c>
    </row>
    <row r="34" customFormat="false" ht="12.75" hidden="false" customHeight="false" outlineLevel="0" collapsed="false">
      <c r="A34" s="0" t="str">
        <f aca="false">IFERROR(MID(D34,1,FIND("|",D34)-1)&amp;"-"&amp;C34,"")</f>
        <v>AICI201801-10-1-2</v>
      </c>
      <c r="B34" s="19" t="n">
        <f aca="false">IFERROR(__xludf.dummyfunction("""COMPUTED_VALUE"""),43699)</f>
        <v>43699</v>
      </c>
      <c r="C34" s="0" t="n">
        <f aca="false">IFERROR(__xludf.dummyfunction("""COMPUTED_VALUE"""),2)</f>
        <v>2</v>
      </c>
      <c r="D34" s="0" t="str">
        <f aca="false">IFERROR(__xludf.dummyfunction("""COMPUTED_VALUE"""),"AICI201801-10-1| Actualizacion del Cronograma de de actividades de la implementación del Sistema de Información segun contrato 2824 de 2015.")</f>
        <v>AICI201801-10-1| Actualizacion del Cronograma de de actividades de la implementación del Sistema de Información segun contrato 2824 de 2015.</v>
      </c>
      <c r="E34" s="0" t="str">
        <f aca="false">IFERROR(__xludf.dummyfunction("""COMPUTED_VALUE"""),"No se tiene cronograma de implementación actualizado.")</f>
        <v>No se tiene cronograma de implementación actualizado.</v>
      </c>
      <c r="F34" s="0" t="str">
        <f aca="false">IFERROR(__xludf.dummyfunction("""COMPUTED_VALUE"""),"Atrasado")</f>
        <v>Atrasado</v>
      </c>
    </row>
    <row r="35" customFormat="false" ht="12.75" hidden="false" customHeight="false" outlineLevel="0" collapsed="false">
      <c r="A35" s="0" t="str">
        <f aca="false">IFERROR(MID(D35,1,FIND("|",D35)-1)&amp;"-"&amp;C35,"")</f>
        <v>AICI201801-10-2-2</v>
      </c>
      <c r="B35" s="19" t="n">
        <f aca="false">IFERROR(__xludf.dummyfunction("""COMPUTED_VALUE"""),43699)</f>
        <v>43699</v>
      </c>
      <c r="C35" s="0" t="n">
        <f aca="false">IFERROR(__xludf.dummyfunction("""COMPUTED_VALUE"""),2)</f>
        <v>2</v>
      </c>
      <c r="D35" s="0" t="str">
        <f aca="false">IFERROR(__xludf.dummyfunction("""COMPUTED_VALUE"""),"AICI201801-10-2| Determinar las actividades que poseen retraso y fijar una ruta crítica para equilibrar la ejecución del proyecto.")</f>
        <v>AICI201801-10-2| Determinar las actividades que poseen retraso y fijar una ruta crítica para equilibrar la ejecución del proyecto.</v>
      </c>
      <c r="E35" s="0" t="str">
        <f aca="false">IFERROR(__xludf.dummyfunction("""COMPUTED_VALUE"""),"Actividad no realizada")</f>
        <v>Actividad no realizada</v>
      </c>
      <c r="F35" s="0" t="str">
        <f aca="false">IFERROR(__xludf.dummyfunction("""COMPUTED_VALUE"""),"Atrasado")</f>
        <v>Atrasado</v>
      </c>
    </row>
    <row r="36" customFormat="false" ht="12.75" hidden="false" customHeight="false" outlineLevel="0" collapsed="false">
      <c r="A36" s="0" t="str">
        <f aca="false">IFERROR(MID(D36,1,FIND("|",D36)-1)&amp;"-"&amp;C36,"")</f>
        <v>AICI201801-11-1-2</v>
      </c>
      <c r="B36" s="19" t="n">
        <f aca="false">IFERROR(__xludf.dummyfunction("""COMPUTED_VALUE"""),43699)</f>
        <v>43699</v>
      </c>
      <c r="C36" s="0" t="n">
        <f aca="false">IFERROR(__xludf.dummyfunction("""COMPUTED_VALUE"""),2)</f>
        <v>2</v>
      </c>
      <c r="D36" s="0" t="str">
        <f aca="false">IFERROR(__xludf.dummyfunction("""COMPUTED_VALUE"""),"AICI201801-11-1| Entrega copia Certificado de Disponibilidad Presupuestal y Certificado de Registro Presupuestal")</f>
        <v>AICI201801-11-1| Entrega copia Certificado de Disponibilidad Presupuestal y Certificado de Registro Presupuestal</v>
      </c>
      <c r="E36" s="0" t="str">
        <f aca="false">IFERROR(__xludf.dummyfunction("""COMPUTED_VALUE"""),"El contrato 2824-2016 continua con desfinanciamiento.  No obstante se cuenta con cdp y crp.")</f>
        <v>El contrato 2824-2016 continua con desfinanciamiento.  No obstante se cuenta con cdp y crp.</v>
      </c>
      <c r="F36" s="0" t="str">
        <f aca="false">IFERROR(__xludf.dummyfunction("""COMPUTED_VALUE"""),"En desarrollo")</f>
        <v>En desarrollo</v>
      </c>
      <c r="G36" s="0" t="str">
        <f aca="false">IFERROR(__xludf.dummyfunction("""COMPUTED_VALUE"""),"https://drive.google.com/open?id=1s-hq6Nwi8ZlUNmg5uski5Kb1olx_PE3o, https://drive.google.com/open?id=19W3OpEQ7Wgsw69yq-nITjedjcgdTwYum")</f>
        <v>https://drive.google.com/open?id=1s-hq6Nwi8ZlUNmg5uski5Kb1olx_PE3o, https://drive.google.com/open?id=19W3OpEQ7Wgsw69yq-nITjedjcgdTwYum</v>
      </c>
    </row>
    <row r="37" customFormat="false" ht="12.75" hidden="false" customHeight="false" outlineLevel="0" collapsed="false">
      <c r="A37" s="0" t="str">
        <f aca="false">IFERROR(MID(D37,1,FIND("|",D37)-1)&amp;"-"&amp;C37,"")</f>
        <v>AICI201801-12-1-2</v>
      </c>
      <c r="B37" s="19" t="n">
        <f aca="false">IFERROR(__xludf.dummyfunction("""COMPUTED_VALUE"""),43699)</f>
        <v>43699</v>
      </c>
      <c r="C37" s="0" t="n">
        <f aca="false">IFERROR(__xludf.dummyfunction("""COMPUTED_VALUE"""),2)</f>
        <v>2</v>
      </c>
      <c r="D37" s="0" t="str">
        <f aca="false">IFERROR(__xludf.dummyfunction("""COMPUTED_VALUE"""),"AICI201801-12-1| Actualizacion del Cronograma de de actividades de la implementación del Sistema de Información segun contrato 2824 de 2015.")</f>
        <v>AICI201801-12-1| Actualizacion del Cronograma de de actividades de la implementación del Sistema de Información segun contrato 2824 de 2015.</v>
      </c>
      <c r="E37" s="0" t="str">
        <f aca="false">IFERROR(__xludf.dummyfunction("""COMPUTED_VALUE"""),"El cronograma del proyecto se encuentra desactualizado.")</f>
        <v>El cronograma del proyecto se encuentra desactualizado.</v>
      </c>
      <c r="F37" s="0" t="str">
        <f aca="false">IFERROR(__xludf.dummyfunction("""COMPUTED_VALUE"""),"Atrasado")</f>
        <v>Atrasado</v>
      </c>
    </row>
    <row r="38" customFormat="false" ht="12.75" hidden="false" customHeight="false" outlineLevel="0" collapsed="false">
      <c r="A38" s="0" t="str">
        <f aca="false">IFERROR(MID(D38,1,FIND("|",D38)-1)&amp;"-"&amp;C38,"")</f>
        <v>AICI201801-12-2-2</v>
      </c>
      <c r="B38" s="19" t="n">
        <f aca="false">IFERROR(__xludf.dummyfunction("""COMPUTED_VALUE"""),43699)</f>
        <v>43699</v>
      </c>
      <c r="C38" s="0" t="n">
        <f aca="false">IFERROR(__xludf.dummyfunction("""COMPUTED_VALUE"""),2)</f>
        <v>2</v>
      </c>
      <c r="D38" s="0" t="str">
        <f aca="false">IFERROR(__xludf.dummyfunction("""COMPUTED_VALUE"""),"AICI201801-12-2| Determinar las actividades que poseen retraso y fijar una ruta crítica para equilibrar la ejecución del proyecto.")</f>
        <v>AICI201801-12-2| Determinar las actividades que poseen retraso y fijar una ruta crítica para equilibrar la ejecución del proyecto.</v>
      </c>
      <c r="E38" s="0" t="str">
        <f aca="false">IFERROR(__xludf.dummyfunction("""COMPUTED_VALUE"""),"No se cuenta con ruta critica ni actualización de cronograma ")</f>
        <v>No se cuenta con ruta critica ni actualización de cronograma </v>
      </c>
      <c r="F38" s="0" t="str">
        <f aca="false">IFERROR(__xludf.dummyfunction("""COMPUTED_VALUE"""),"Atrasado")</f>
        <v>Atrasado</v>
      </c>
    </row>
    <row r="39" customFormat="false" ht="12.75" hidden="false" customHeight="false" outlineLevel="0" collapsed="false">
      <c r="A39" s="0" t="str">
        <f aca="false">IFERROR(MID(D39,1,FIND("|",D39)-1)&amp;"-"&amp;C39,"")</f>
        <v>AICI201801-13-1-2</v>
      </c>
      <c r="B39" s="19" t="n">
        <f aca="false">IFERROR(__xludf.dummyfunction("""COMPUTED_VALUE"""),43699)</f>
        <v>43699</v>
      </c>
      <c r="C39" s="0" t="n">
        <f aca="false">IFERROR(__xludf.dummyfunction("""COMPUTED_VALUE"""),2)</f>
        <v>2</v>
      </c>
      <c r="D39" s="0" t="str">
        <f aca="false">IFERROR(__xludf.dummyfunction("""COMPUTED_VALUE"""),"AICI201801-13-1| Hacer seguimiento a los ANS del proveedor Carvajal SAS y exigir su cumplimiento. Para futuros servicios contratados se debe establecer conjuntamente el ANS.")</f>
        <v>AICI201801-13-1| Hacer seguimiento a los ANS del proveedor Carvajal SAS y exigir su cumplimiento. Para futuros servicios contratados se debe establecer conjuntamente el ANS.</v>
      </c>
      <c r="E39" s="0" t="str">
        <f aca="false">IFERROR(__xludf.dummyfunction("""COMPUTED_VALUE"""),"Se realizo seguimiento al ANS del contrato con corte a 30 de junio de 2019")</f>
        <v>Se realizo seguimiento al ANS del contrato con corte a 30 de junio de 2019</v>
      </c>
      <c r="F39" s="0" t="str">
        <f aca="false">IFERROR(__xludf.dummyfunction("""COMPUTED_VALUE"""),"Completo")</f>
        <v>Completo</v>
      </c>
      <c r="G39" s="20" t="str">
        <f aca="false">IFERROR(__xludf.dummyfunction("""COMPUTED_VALUE"""),"https://drive.google.com/open?id=1-ATpfxhavGyGxwQm_6q9Q98jpc-zuDCP")</f>
        <v>https://drive.google.com/open?id=1-ATpfxhavGyGxwQm_6q9Q98jpc-zuDCP</v>
      </c>
    </row>
    <row r="40" customFormat="false" ht="12.75" hidden="false" customHeight="false" outlineLevel="0" collapsed="false">
      <c r="A40" s="0" t="str">
        <f aca="false">IFERROR(MID(D40,1,FIND("|",D40)-1)&amp;"-"&amp;C40,"")</f>
        <v>AICI201801-14-1-2</v>
      </c>
      <c r="B40" s="19" t="n">
        <f aca="false">IFERROR(__xludf.dummyfunction("""COMPUTED_VALUE"""),43699)</f>
        <v>43699</v>
      </c>
      <c r="C40" s="0" t="n">
        <f aca="false">IFERROR(__xludf.dummyfunction("""COMPUTED_VALUE"""),2)</f>
        <v>2</v>
      </c>
      <c r="D40" s="0" t="str">
        <f aca="false">IFERROR(__xludf.dummyfunction("""COMPUTED_VALUE"""),"AICI201801-14-1| Reevaluación de la ponderación de los riesgos durante el 4 trimestre de 2018. Para nuevos proyectos similares hacer hacer análisis riguroso de los riesgos y su seguimiento.")</f>
        <v>AICI201801-14-1| Reevaluación de la ponderación de los riesgos durante el 4 trimestre de 2018. Para nuevos proyectos similares hacer hacer análisis riguroso de los riesgos y su seguimiento.</v>
      </c>
      <c r="E40" s="0" t="str">
        <f aca="false">IFERROR(__xludf.dummyfunction("""COMPUTED_VALUE"""),"se realizó re evaluación de riesgos del proyecto ")</f>
        <v>se realizó re evaluación de riesgos del proyecto </v>
      </c>
      <c r="F40" s="0" t="str">
        <f aca="false">IFERROR(__xludf.dummyfunction("""COMPUTED_VALUE"""),"Completo")</f>
        <v>Completo</v>
      </c>
      <c r="G40" s="20" t="str">
        <f aca="false">IFERROR(__xludf.dummyfunction("""COMPUTED_VALUE"""),"https://drive.google.com/open?id=1qTB_hqOF8O5iJws4dOdOB4GO-4YQ37M1")</f>
        <v>https://drive.google.com/open?id=1qTB_hqOF8O5iJws4dOdOB4GO-4YQ37M1</v>
      </c>
    </row>
    <row r="41" customFormat="false" ht="12.75" hidden="false" customHeight="false" outlineLevel="0" collapsed="false">
      <c r="A41" s="0" t="str">
        <f aca="false">IFERROR(MID(D41,1,FIND("|",D41)-1)&amp;"-"&amp;C41,"")</f>
        <v>AICI201801-15-1-2</v>
      </c>
      <c r="B41" s="19" t="n">
        <f aca="false">IFERROR(__xludf.dummyfunction("""COMPUTED_VALUE"""),43699)</f>
        <v>43699</v>
      </c>
      <c r="C41" s="0" t="n">
        <f aca="false">IFERROR(__xludf.dummyfunction("""COMPUTED_VALUE"""),2)</f>
        <v>2</v>
      </c>
      <c r="D41" s="0" t="str">
        <f aca="false">IFERROR(__xludf.dummyfunction("""COMPUTED_VALUE"""),"AICI201801-15-1| Realizar evalución de controles y medidas para los riesgos definidos, fortaleciendola y reevaluando los riesgos residuales.")</f>
        <v>AICI201801-15-1| Realizar evalución de controles y medidas para los riesgos definidos, fortaleciendola y reevaluando los riesgos residuales.</v>
      </c>
      <c r="E41" s="0" t="str">
        <f aca="false">IFERROR(__xludf.dummyfunction("""COMPUTED_VALUE"""),"Se aplican contra medidas mitigando los riesgos de infraestructura con la presentación e inclusión en el banco de proyectos del proyecto de mejorameinto de infraestructura para las sub redes por un valor de 6 mil millones de pesos y materializado en el co"&amp;"ntrato c01pccntr.664635-2018 suscrito entre las SDS y la empresa nueva era soluciones ")</f>
        <v>Se aplican contra medidas mitigando los riesgos de infraestructura con la presentación e inclusión en el banco de proyectos del proyecto de mejorameinto de infraestructura para las sub redes por un valor de 6 mil millones de pesos y materializado en el contrato c01pccntr.664635-2018 suscrito entre las SDS y la empresa nueva era soluciones </v>
      </c>
      <c r="F41" s="0" t="str">
        <f aca="false">IFERROR(__xludf.dummyfunction("""COMPUTED_VALUE"""),"Completo")</f>
        <v>Completo</v>
      </c>
      <c r="G41" s="0" t="str">
        <f aca="false">IFERROR(__xludf.dummyfunction("""COMPUTED_VALUE"""),"https://drive.google.com/open?id=1tGJlO-58-g7mJ5w3_uJHRUTskf6QPRE1, https://drive.google.com/open?id=1bxid9LQ6ihCWCa6Dd3KIAOyABNidWIH1, https://drive.google.com/open?id=1LUHzSUq-_MduOgKJw5dr4_PbMxzsN-RU, https://drive.google.com/open?id=1sRcABmfRYWW4umTNV"&amp;"-JTpmDOttiMAU_b, https://drive.google.com/open?id=1HgkI-uOO6iezkwME4VVPKjuSuf2hnD8K")</f>
        <v>https://drive.google.com/open?id=1tGJlO-58-g7mJ5w3_uJHRUTskf6QPRE1, https://drive.google.com/open?id=1bxid9LQ6ihCWCa6Dd3KIAOyABNidWIH1, https://drive.google.com/open?id=1LUHzSUq-_MduOgKJw5dr4_PbMxzsN-RU, https://drive.google.com/open?id=1sRcABmfRYWW4umTNV-JTpmDOttiMAU_b, https://drive.google.com/open?id=1HgkI-uOO6iezkwME4VVPKjuSuf2hnD8K</v>
      </c>
    </row>
    <row r="42" customFormat="false" ht="12.75" hidden="false" customHeight="false" outlineLevel="0" collapsed="false">
      <c r="A42" s="0" t="str">
        <f aca="false">IFERROR(MID(D42,1,FIND("|",D42)-1)&amp;"-"&amp;C42,"")</f>
        <v>AICI201801-1-1-3</v>
      </c>
      <c r="B42" s="19" t="n">
        <f aca="false">IFERROR(__xludf.dummyfunction("""COMPUTED_VALUE"""),43742)</f>
        <v>43742</v>
      </c>
      <c r="C42" s="0" t="n">
        <f aca="false">IFERROR(__xludf.dummyfunction("""COMPUTED_VALUE"""),3)</f>
        <v>3</v>
      </c>
      <c r="D42" s="0" t="str">
        <f aca="false">IFERROR(__xludf.dummyfunction("""COMPUTED_VALUE"""),"AICI201801-1-1| Revisar y actualizar diagnostico de TICS según Mintic con la metodología IT4+ y actualizar los documentos referenciados en este.")</f>
        <v>AICI201801-1-1| Revisar y actualizar diagnostico de TICS según Mintic con la metodología IT4+ y actualizar los documentos referenciados en este.</v>
      </c>
      <c r="E42" s="0" t="str">
        <f aca="false">IFERROR(__xludf.dummyfunction("""COMPUTED_VALUE"""),"Se evidencia ejecución de IT4+ para el diagnostico de TI en Madurez de Gestión y rupturas estratégicas.  No se soporta las respuestas dadas en las anteriores herramientas.  Se sugiere actualizar la documentación que soporta las matrices de diagnostico.")</f>
        <v>Se evidencia ejecución de IT4+ para el diagnostico de TI en Madurez de Gestión y rupturas estratégicas.  No se soporta las respuestas dadas en las anteriores herramientas.  Se sugiere actualizar la documentación que soporta las matrices de diagnostico.</v>
      </c>
      <c r="F42" s="0" t="str">
        <f aca="false">IFERROR(__xludf.dummyfunction("""COMPUTED_VALUE"""),"Completo")</f>
        <v>Completo</v>
      </c>
      <c r="G42" s="0" t="str">
        <f aca="false">IFERROR(__xludf.dummyfunction("""COMPUTED_VALUE"""),"https://drive.google.com/open?id=1Umd5_S3hAWJFU0b__QmzrUN9PFRFzuuV, https://drive.google.com/open?id=15pg-S5gmyxbXNtIGRjRJyEobNQUX8xhk, https://drive.google.com/open?id=1skKACRhuYbdkDTI_t4nTC1Hf4ITNa92i")</f>
        <v>https://drive.google.com/open?id=1Umd5_S3hAWJFU0b__QmzrUN9PFRFzuuV, https://drive.google.com/open?id=15pg-S5gmyxbXNtIGRjRJyEobNQUX8xhk, https://drive.google.com/open?id=1skKACRhuYbdkDTI_t4nTC1Hf4ITNa92i</v>
      </c>
    </row>
    <row r="43" customFormat="false" ht="12.75" hidden="false" customHeight="false" outlineLevel="0" collapsed="false">
      <c r="A43" s="0" t="str">
        <f aca="false">IFERROR(MID(D43,1,FIND("|",D43)-1)&amp;"-"&amp;C43,"")</f>
        <v>AICI201801-2-1-3</v>
      </c>
      <c r="B43" s="19" t="n">
        <f aca="false">IFERROR(__xludf.dummyfunction("""COMPUTED_VALUE"""),43742)</f>
        <v>43742</v>
      </c>
      <c r="C43" s="0" t="n">
        <f aca="false">IFERROR(__xludf.dummyfunction("""COMPUTED_VALUE"""),3)</f>
        <v>3</v>
      </c>
      <c r="D43" s="0" t="str">
        <f aca="false">IFERROR(__xludf.dummyfunction("""COMPUTED_VALUE"""),"AICI201801-2-1| Actualización del PETI, de acuerdo a lo establecido en la Resolución 004 de 2017 y directrices impartidas por parte de MINTIC.")</f>
        <v>AICI201801-2-1| Actualización del PETI, de acuerdo a lo establecido en la Resolución 004 de 2017 y directrices impartidas por parte de MINTIC.</v>
      </c>
      <c r="E43" s="0" t="str">
        <f aca="false">IFERROR(__xludf.dummyfunction("""COMPUTED_VALUE"""),"Se evidencia la actualización del PETI en el documento AP-GI-PL-10-03 del 30 Septiembre de 2019.  ")</f>
        <v>Se evidencia la actualización del PETI en el documento AP-GI-PL-10-03 del 30 Septiembre de 2019.  </v>
      </c>
      <c r="F43" s="0" t="str">
        <f aca="false">IFERROR(__xludf.dummyfunction("""COMPUTED_VALUE"""),"Completo")</f>
        <v>Completo</v>
      </c>
      <c r="G43" s="20" t="str">
        <f aca="false">IFERROR(__xludf.dummyfunction("""COMPUTED_VALUE"""),"https://drive.google.com/open?id=1hyUxaBnNBVowab16amlZoabWFJyOoEnj")</f>
        <v>https://drive.google.com/open?id=1hyUxaBnNBVowab16amlZoabWFJyOoEnj</v>
      </c>
    </row>
    <row r="44" customFormat="false" ht="12.75" hidden="false" customHeight="false" outlineLevel="0" collapsed="false">
      <c r="A44" s="0" t="str">
        <f aca="false">IFERROR(MID(D44,1,FIND("|",D44)-1)&amp;"-"&amp;C44,"")</f>
        <v>AICI201801-3-1-3</v>
      </c>
      <c r="B44" s="19" t="n">
        <f aca="false">IFERROR(__xludf.dummyfunction("""COMPUTED_VALUE"""),43742)</f>
        <v>43742</v>
      </c>
      <c r="C44" s="0" t="n">
        <f aca="false">IFERROR(__xludf.dummyfunction("""COMPUTED_VALUE"""),3)</f>
        <v>3</v>
      </c>
      <c r="D44" s="0" t="str">
        <f aca="false">IFERROR(__xludf.dummyfunction("""COMPUTED_VALUE"""),"AICI201801-3-1| Realizar seguimiento a la ejecución del plan de compras del area de Sistemas de Información - TIC, a traves de indicadores, ajustandolo con el plan de compras institucional.")</f>
        <v>AICI201801-3-1| Realizar seguimiento a la ejecución del plan de compras del area de Sistemas de Información - TIC, a traves de indicadores, ajustandolo con el plan de compras institucional.</v>
      </c>
      <c r="E44" s="0" t="str">
        <f aca="false">IFERROR(__xludf.dummyfunction("""COMPUTED_VALUE"""),"Se evidencia seguimiento a la ejecución del plan de compras al igual que indicadores de seguimiento")</f>
        <v>Se evidencia seguimiento a la ejecución del plan de compras al igual que indicadores de seguimiento</v>
      </c>
      <c r="F44" s="0" t="str">
        <f aca="false">IFERROR(__xludf.dummyfunction("""COMPUTED_VALUE"""),"Completo")</f>
        <v>Completo</v>
      </c>
    </row>
    <row r="45" customFormat="false" ht="12.75" hidden="false" customHeight="false" outlineLevel="0" collapsed="false">
      <c r="A45" s="0" t="str">
        <f aca="false">IFERROR(MID(D45,1,FIND("|",D45)-1)&amp;"-"&amp;C45,"")</f>
        <v>AICI201801-4-1-3</v>
      </c>
      <c r="B45" s="19" t="n">
        <f aca="false">IFERROR(__xludf.dummyfunction("""COMPUTED_VALUE"""),43742)</f>
        <v>43742</v>
      </c>
      <c r="C45" s="0" t="n">
        <f aca="false">IFERROR(__xludf.dummyfunction("""COMPUTED_VALUE"""),3)</f>
        <v>3</v>
      </c>
      <c r="D45" s="0" t="str">
        <f aca="false">IFERROR(__xludf.dummyfunction("""COMPUTED_VALUE"""),"AICI201801-4-1| Actualización del cronograma de simulacros y Realización de simulacros para el Plan de Contingencia de los Sistemas de Información para el segundo semestre de 2018 y ajuste y hay lugar.")</f>
        <v>AICI201801-4-1| Actualización del cronograma de simulacros y Realización de simulacros para el Plan de Contingencia de los Sistemas de Información para el segundo semestre de 2018 y ajuste y hay lugar.</v>
      </c>
      <c r="E45" s="0" t="str">
        <f aca="false">IFERROR(__xludf.dummyfunction("""COMPUTED_VALUE"""),"Se evidencian actas e informes de pruebas al plan de contingencia de TICs")</f>
        <v>Se evidencian actas e informes de pruebas al plan de contingencia de TICs</v>
      </c>
      <c r="F45" s="0" t="str">
        <f aca="false">IFERROR(__xludf.dummyfunction("""COMPUTED_VALUE"""),"Completo")</f>
        <v>Completo</v>
      </c>
    </row>
    <row r="46" customFormat="false" ht="12.75" hidden="false" customHeight="false" outlineLevel="0" collapsed="false">
      <c r="A46" s="0" t="str">
        <f aca="false">IFERROR(MID(D46,1,FIND("|",D46)-1)&amp;"-"&amp;C46,"")</f>
        <v>AICI201801-5-1-3</v>
      </c>
      <c r="B46" s="19" t="n">
        <f aca="false">IFERROR(__xludf.dummyfunction("""COMPUTED_VALUE"""),43742)</f>
        <v>43742</v>
      </c>
      <c r="C46" s="0" t="n">
        <f aca="false">IFERROR(__xludf.dummyfunction("""COMPUTED_VALUE"""),3)</f>
        <v>3</v>
      </c>
      <c r="D46" s="0" t="str">
        <f aca="false">IFERROR(__xludf.dummyfunction("""COMPUTED_VALUE"""),"AICI201801-5-1| Actualización del registro de los Activos de Información de la oficina de Sistemas de Información - TIC, de acuerdo a los lineaminentos establecios en la guia para la gestión y clasificacion de los activos de informacion- MINTIC, ley 1712 "&amp;"del 2014 y alineado con Dominio 8 Gestión de Activos del anexo A de la norma ISO 27001:2013.")</f>
        <v>AICI201801-5-1| Actualización del registro de los Activos de Información de la oficina de Sistemas de Información - TIC, de acuerdo a los lineaminentos establecios en la guia para la gestión y clasificacion de los activos de informacion- MINTIC, ley 1712 del 2014 y alineado con Dominio 8 Gestión de Activos del anexo A de la norma ISO 27001:2013.</v>
      </c>
      <c r="E46" s="0" t="str">
        <f aca="false">IFERROR(__xludf.dummyfunction("""COMPUTED_VALUE"""),"Se cuenta con una matriz preliminar de Inventario de Activos de información.  Falta cumplimiento en atributos de Confidencialidad y no hay claridad en el propietario del activo de información.  Se sugiere utilizar la Guía para la Gestión y Clasificación d"&amp;"e Activos de Información de MinTIC. ")</f>
        <v>Se cuenta con una matriz preliminar de Inventario de Activos de información.  Falta cumplimiento en atributos de Confidencialidad y no hay claridad en el propietario del activo de información.  Se sugiere utilizar la Guía para la Gestión y Clasificación de Activos de Información de MinTIC. </v>
      </c>
      <c r="F46" s="0" t="str">
        <f aca="false">IFERROR(__xludf.dummyfunction("""COMPUTED_VALUE"""),"En desarrollo")</f>
        <v>En desarrollo</v>
      </c>
      <c r="G46" s="20" t="str">
        <f aca="false">IFERROR(__xludf.dummyfunction("""COMPUTED_VALUE"""),"https://drive.google.com/open?id=1p0eJyWL3A-yRWdZyPeMbTz-X9oIWLm0Z")</f>
        <v>https://drive.google.com/open?id=1p0eJyWL3A-yRWdZyPeMbTz-X9oIWLm0Z</v>
      </c>
    </row>
    <row r="47" customFormat="false" ht="12.75" hidden="false" customHeight="false" outlineLevel="0" collapsed="false">
      <c r="A47" s="0" t="str">
        <f aca="false">IFERROR(MID(D47,1,FIND("|",D47)-1)&amp;"-"&amp;C47,"")</f>
        <v>AICI201801-6-1-3</v>
      </c>
      <c r="B47" s="19" t="n">
        <f aca="false">IFERROR(__xludf.dummyfunction("""COMPUTED_VALUE"""),43742)</f>
        <v>43742</v>
      </c>
      <c r="C47" s="0" t="n">
        <f aca="false">IFERROR(__xludf.dummyfunction("""COMPUTED_VALUE"""),3)</f>
        <v>3</v>
      </c>
      <c r="D47" s="0" t="str">
        <f aca="false">IFERROR(__xludf.dummyfunction("""COMPUTED_VALUE"""),"AICI201801-6-1| Identificar y coinciliar el 100% de los activos informáticos organizacionales (hardware y software), teniendo en cuenta las carteras individuales y la configuración, de tal manera que se establezca una unica base de datos.")</f>
        <v>AICI201801-6-1| Identificar y coinciliar el 100% de los activos informáticos organizacionales (hardware y software), teniendo en cuenta las carteras individuales y la configuración, de tal manera que se establezca una unica base de datos.</v>
      </c>
      <c r="E47" s="0" t="str">
        <f aca="false">IFERROR(__xludf.dummyfunction("""COMPUTED_VALUE"""),"Se dió inicio a la conciliación de los activos fijos informáticos según inventarios del Área de activos fijos Vs Área de TICs.  Se encontraron diferencias del 49% .  La conciliación física se realizará a partir octubre de 2019.  Se anexa acta de reunión.")</f>
        <v>Se dió inicio a la conciliación de los activos fijos informáticos según inventarios del Área de activos fijos Vs Área de TICs.  Se encontraron diferencias del 49% .  La conciliación física se realizará a partir octubre de 2019.  Se anexa acta de reunión.</v>
      </c>
      <c r="F47" s="0" t="str">
        <f aca="false">IFERROR(__xludf.dummyfunction("""COMPUTED_VALUE"""),"Atrasado")</f>
        <v>Atrasado</v>
      </c>
      <c r="G47" s="20" t="str">
        <f aca="false">IFERROR(__xludf.dummyfunction("""COMPUTED_VALUE"""),"https://drive.google.com/open?id=1umlZHZBTCgle60g3Jk0nE1o_bhtNazUE")</f>
        <v>https://drive.google.com/open?id=1umlZHZBTCgle60g3Jk0nE1o_bhtNazUE</v>
      </c>
    </row>
    <row r="48" customFormat="false" ht="12.75" hidden="false" customHeight="false" outlineLevel="0" collapsed="false">
      <c r="A48" s="0" t="str">
        <f aca="false">IFERROR(MID(D48,1,FIND("|",D48)-1)&amp;"-"&amp;C48,"")</f>
        <v>AICI201801-6-2-3</v>
      </c>
      <c r="B48" s="19" t="n">
        <f aca="false">IFERROR(__xludf.dummyfunction("""COMPUTED_VALUE"""),43742)</f>
        <v>43742</v>
      </c>
      <c r="C48" s="0" t="n">
        <f aca="false">IFERROR(__xludf.dummyfunction("""COMPUTED_VALUE"""),3)</f>
        <v>3</v>
      </c>
      <c r="D48" s="0" t="str">
        <f aca="false">IFERROR(__xludf.dummyfunction("""COMPUTED_VALUE"""),"AICI201801-6-2| Definir mecanismos para controlar las actividades del ciclo de vida (entrada, salida e intercambio) de equipos de computo hasta su disposición final.")</f>
        <v>AICI201801-6-2| Definir mecanismos para controlar las actividades del ciclo de vida (entrada, salida e intercambio) de equipos de computo hasta su disposición final.</v>
      </c>
      <c r="E48" s="0" t="str">
        <f aca="false">IFERROR(__xludf.dummyfunction("""COMPUTED_VALUE"""),"Se cuenta con el documento: INSTRUCTIVO CICLO DE VIDA EQUIPOS COMPUTO, el cual se encuentra en proceso de normalización.")</f>
        <v>Se cuenta con el documento: INSTRUCTIVO CICLO DE VIDA EQUIPOS COMPUTO, el cual se encuentra en proceso de normalización.</v>
      </c>
      <c r="F48" s="0" t="str">
        <f aca="false">IFERROR(__xludf.dummyfunction("""COMPUTED_VALUE"""),"Completo")</f>
        <v>Completo</v>
      </c>
      <c r="G48" s="0" t="str">
        <f aca="false">IFERROR(__xludf.dummyfunction("""COMPUTED_VALUE"""),"https://drive.google.com/open?id=1q4IcIIamWa7VUgKg2nweL2-C7wMZ6SyY, https://drive.google.com/open?id=1V6Jv5Ne4iOzV91TJo7fobZrWdNzEjlyb")</f>
        <v>https://drive.google.com/open?id=1q4IcIIamWa7VUgKg2nweL2-C7wMZ6SyY, https://drive.google.com/open?id=1V6Jv5Ne4iOzV91TJo7fobZrWdNzEjlyb</v>
      </c>
    </row>
    <row r="49" customFormat="false" ht="12.75" hidden="false" customHeight="false" outlineLevel="0" collapsed="false">
      <c r="A49" s="0" t="str">
        <f aca="false">IFERROR(MID(D49,1,FIND("|",D49)-1)&amp;"-"&amp;C49,"")</f>
        <v>AICI201801-7-1-3</v>
      </c>
      <c r="B49" s="19" t="n">
        <f aca="false">IFERROR(__xludf.dummyfunction("""COMPUTED_VALUE"""),43742)</f>
        <v>43742</v>
      </c>
      <c r="C49" s="0" t="n">
        <f aca="false">IFERROR(__xludf.dummyfunction("""COMPUTED_VALUE"""),3)</f>
        <v>3</v>
      </c>
      <c r="D49" s="0" t="str">
        <f aca="false">IFERROR(__xludf.dummyfunction("""COMPUTED_VALUE"""),"AICI201801-7-1| Ajuste a los indicadores del proceso SI-C-01-01.")</f>
        <v>AICI201801-7-1| Ajuste a los indicadores del proceso SI-C-01-01.</v>
      </c>
      <c r="E49" s="0" t="str">
        <f aca="false">IFERROR(__xludf.dummyfunction("""COMPUTED_VALUE"""),"Se realizaron ajustes al proceso SI-C-01_01.  Se encuentra en proceso de normalización.")</f>
        <v>Se realizaron ajustes al proceso SI-C-01_01.  Se encuentra en proceso de normalización.</v>
      </c>
      <c r="F49" s="0" t="str">
        <f aca="false">IFERROR(__xludf.dummyfunction("""COMPUTED_VALUE"""),"Completo")</f>
        <v>Completo</v>
      </c>
      <c r="G49" s="20" t="str">
        <f aca="false">IFERROR(__xludf.dummyfunction("""COMPUTED_VALUE"""),"https://drive.google.com/open?id=1rHkUGvZCTF8XWo0rTjGWQO2JZGs84zoN")</f>
        <v>https://drive.google.com/open?id=1rHkUGvZCTF8XWo0rTjGWQO2JZGs84zoN</v>
      </c>
    </row>
    <row r="50" customFormat="false" ht="12.75" hidden="false" customHeight="false" outlineLevel="0" collapsed="false">
      <c r="A50" s="0" t="str">
        <f aca="false">IFERROR(MID(D50,1,FIND("|",D50)-1)&amp;"-"&amp;C50,"")</f>
        <v>AICI201801-7-2-3</v>
      </c>
      <c r="B50" s="19" t="n">
        <f aca="false">IFERROR(__xludf.dummyfunction("""COMPUTED_VALUE"""),43742)</f>
        <v>43742</v>
      </c>
      <c r="C50" s="0" t="n">
        <f aca="false">IFERROR(__xludf.dummyfunction("""COMPUTED_VALUE"""),3)</f>
        <v>3</v>
      </c>
      <c r="D50" s="0" t="str">
        <f aca="false">IFERROR(__xludf.dummyfunction("""COMPUTED_VALUE"""),"AICI201801-7-2| Seguimiento al tablero de indicadores.")</f>
        <v>AICI201801-7-2| Seguimiento al tablero de indicadores.</v>
      </c>
      <c r="E50" s="0" t="str">
        <f aca="false">IFERROR(__xludf.dummyfunction("""COMPUTED_VALUE"""),"Se evidencia seguimiento a los 3 indicadores establecidos en el proceso SI-C-01_01.  ")</f>
        <v>Se evidencia seguimiento a los 3 indicadores establecidos en el proceso SI-C-01_01.  </v>
      </c>
      <c r="F50" s="0" t="str">
        <f aca="false">IFERROR(__xludf.dummyfunction("""COMPUTED_VALUE"""),"Completo")</f>
        <v>Completo</v>
      </c>
    </row>
    <row r="51" customFormat="false" ht="12.75" hidden="false" customHeight="false" outlineLevel="0" collapsed="false">
      <c r="A51" s="0" t="str">
        <f aca="false">IFERROR(MID(D51,1,FIND("|",D51)-1)&amp;"-"&amp;C51,"")</f>
        <v>AICI201801-8-1-3</v>
      </c>
      <c r="B51" s="19" t="n">
        <f aca="false">IFERROR(__xludf.dummyfunction("""COMPUTED_VALUE"""),43742)</f>
        <v>43742</v>
      </c>
      <c r="C51" s="0" t="n">
        <f aca="false">IFERROR(__xludf.dummyfunction("""COMPUTED_VALUE"""),3)</f>
        <v>3</v>
      </c>
      <c r="D51" s="0" t="str">
        <f aca="false">IFERROR(__xludf.dummyfunction("""COMPUTED_VALUE"""),"AICI201801-8-1| Actualizar los procedimientos caracterizados.")</f>
        <v>AICI201801-8-1| Actualizar los procedimientos caracterizados.</v>
      </c>
      <c r="E51" s="0" t="str">
        <f aca="false">IFERROR(__xludf.dummyfunction("""COMPUTED_VALUE"""),"Se evidencia actualización de los procedimientos caracterizados para el proceso SI-C-01_01.")</f>
        <v>Se evidencia actualización de los procedimientos caracterizados para el proceso SI-C-01_01.</v>
      </c>
      <c r="F51" s="0" t="str">
        <f aca="false">IFERROR(__xludf.dummyfunction("""COMPUTED_VALUE"""),"Completo")</f>
        <v>Completo</v>
      </c>
      <c r="G51" s="20" t="str">
        <f aca="false">IFERROR(__xludf.dummyfunction("""COMPUTED_VALUE"""),"https://drive.google.com/open?id=1GRxap0rTNDDCBM64NLSmjuY9tp4vA7Iy")</f>
        <v>https://drive.google.com/open?id=1GRxap0rTNDDCBM64NLSmjuY9tp4vA7Iy</v>
      </c>
    </row>
    <row r="52" customFormat="false" ht="12.75" hidden="false" customHeight="false" outlineLevel="0" collapsed="false">
      <c r="A52" s="0" t="str">
        <f aca="false">IFERROR(MID(D52,1,FIND("|",D52)-1)&amp;"-"&amp;C52,"")</f>
        <v>AICI201801-9-1-3</v>
      </c>
      <c r="B52" s="19" t="n">
        <f aca="false">IFERROR(__xludf.dummyfunction("""COMPUTED_VALUE"""),43742)</f>
        <v>43742</v>
      </c>
      <c r="C52" s="0" t="n">
        <f aca="false">IFERROR(__xludf.dummyfunction("""COMPUTED_VALUE"""),3)</f>
        <v>3</v>
      </c>
      <c r="D52" s="0" t="str">
        <f aca="false">IFERROR(__xludf.dummyfunction("""COMPUTED_VALUE"""),"AICI201801-9-1| Elaboración de los instructivos de servicios de: (Internet, Intranet, Pagina WEB, gestión de Servidores, Gestión de redes, Sistemas de información)")</f>
        <v>AICI201801-9-1| Elaboración de los instructivos de servicios de: (Internet, Intranet, Pagina WEB, gestión de Servidores, Gestión de redes, Sistemas de información)</v>
      </c>
      <c r="E52" s="0" t="str">
        <f aca="false">IFERROR(__xludf.dummyfunction("""COMPUTED_VALUE"""),"Se evidencia la elaboración, normalización y publicación de instructivos de los servicios informáticos")</f>
        <v>Se evidencia la elaboración, normalización y publicación de instructivos de los servicios informáticos</v>
      </c>
      <c r="F52" s="0" t="str">
        <f aca="false">IFERROR(__xludf.dummyfunction("""COMPUTED_VALUE"""),"Completo")</f>
        <v>Completo</v>
      </c>
    </row>
    <row r="53" customFormat="false" ht="12.75" hidden="false" customHeight="false" outlineLevel="0" collapsed="false">
      <c r="A53" s="0" t="str">
        <f aca="false">IFERROR(MID(D53,1,FIND("|",D53)-1)&amp;"-"&amp;C53,"")</f>
        <v>AICI201801-10-1-3</v>
      </c>
      <c r="B53" s="19" t="n">
        <f aca="false">IFERROR(__xludf.dummyfunction("""COMPUTED_VALUE"""),43742)</f>
        <v>43742</v>
      </c>
      <c r="C53" s="0" t="n">
        <f aca="false">IFERROR(__xludf.dummyfunction("""COMPUTED_VALUE"""),3)</f>
        <v>3</v>
      </c>
      <c r="D53" s="0" t="str">
        <f aca="false">IFERROR(__xludf.dummyfunction("""COMPUTED_VALUE"""),"AICI201801-10-1| Actualizacion del Cronograma de de actividades de la implementación del Sistema de Información segun contrato 2824 de 2015.")</f>
        <v>AICI201801-10-1| Actualizacion del Cronograma de de actividades de la implementación del Sistema de Información segun contrato 2824 de 2015.</v>
      </c>
      <c r="E53" s="0" t="str">
        <f aca="false">IFERROR(__xludf.dummyfunction("""COMPUTED_VALUE"""),"Se evidencia la actualización del cronograma de implementación del sistema.")</f>
        <v>Se evidencia la actualización del cronograma de implementación del sistema.</v>
      </c>
      <c r="F53" s="0" t="str">
        <f aca="false">IFERROR(__xludf.dummyfunction("""COMPUTED_VALUE"""),"Completo")</f>
        <v>Completo</v>
      </c>
      <c r="G53" s="20" t="str">
        <f aca="false">IFERROR(__xludf.dummyfunction("""COMPUTED_VALUE"""),"https://drive.google.com/open?id=1aoGVs71oRlhuEZ1H3GHLzpz_lWC17vB3")</f>
        <v>https://drive.google.com/open?id=1aoGVs71oRlhuEZ1H3GHLzpz_lWC17vB3</v>
      </c>
    </row>
    <row r="54" customFormat="false" ht="12.75" hidden="false" customHeight="false" outlineLevel="0" collapsed="false">
      <c r="A54" s="0" t="str">
        <f aca="false">IFERROR(MID(D54,1,FIND("|",D54)-1)&amp;"-"&amp;C54,"")</f>
        <v>AICI201801-10-2-3</v>
      </c>
      <c r="B54" s="19" t="n">
        <f aca="false">IFERROR(__xludf.dummyfunction("""COMPUTED_VALUE"""),43742)</f>
        <v>43742</v>
      </c>
      <c r="C54" s="0" t="n">
        <f aca="false">IFERROR(__xludf.dummyfunction("""COMPUTED_VALUE"""),3)</f>
        <v>3</v>
      </c>
      <c r="D54" s="0" t="str">
        <f aca="false">IFERROR(__xludf.dummyfunction("""COMPUTED_VALUE"""),"AICI201801-10-2| Determinar las actividades que poseen retraso y fijar una ruta crítica para equilibrar la ejecución del proyecto.")</f>
        <v>AICI201801-10-2| Determinar las actividades que poseen retraso y fijar una ruta crítica para equilibrar la ejecución del proyecto.</v>
      </c>
      <c r="E54" s="0" t="str">
        <f aca="false">IFERROR(__xludf.dummyfunction("""COMPUTED_VALUE"""),"Se determinan las actividades que tienen retraso, sin embargo no se define la ruta crítica para equilibrar el proyecto.")</f>
        <v>Se determinan las actividades que tienen retraso, sin embargo no se define la ruta crítica para equilibrar el proyecto.</v>
      </c>
      <c r="F54" s="0" t="str">
        <f aca="false">IFERROR(__xludf.dummyfunction("""COMPUTED_VALUE"""),"Atrasado")</f>
        <v>Atrasado</v>
      </c>
    </row>
    <row r="55" customFormat="false" ht="12.75" hidden="false" customHeight="false" outlineLevel="0" collapsed="false">
      <c r="A55" s="0" t="str">
        <f aca="false">IFERROR(MID(D55,1,FIND("|",D55)-1)&amp;"-"&amp;C55,"")</f>
        <v>AICI201801-11-1-3</v>
      </c>
      <c r="B55" s="19" t="n">
        <f aca="false">IFERROR(__xludf.dummyfunction("""COMPUTED_VALUE"""),43742)</f>
        <v>43742</v>
      </c>
      <c r="C55" s="0" t="n">
        <f aca="false">IFERROR(__xludf.dummyfunction("""COMPUTED_VALUE"""),3)</f>
        <v>3</v>
      </c>
      <c r="D55" s="0" t="str">
        <f aca="false">IFERROR(__xludf.dummyfunction("""COMPUTED_VALUE"""),"AICI201801-11-1| Entrega copia Certificado de Disponibilidad Presupuestal y Certificado de Registro Presupuestal")</f>
        <v>AICI201801-11-1| Entrega copia Certificado de Disponibilidad Presupuestal y Certificado de Registro Presupuestal</v>
      </c>
      <c r="E55" s="0" t="str">
        <f aca="false">IFERROR(__xludf.dummyfunction("""COMPUTED_VALUE"""),"La oficina de TICs hace entrega de soportes de CDP y CRP.  Adicionalmente remite oficio a la dirección financiera solicitando aclaración sobre la desfinanciación del contrato.   A la fecha de este seguimiento no se tiene respuesta a dicho oficio.")</f>
        <v>La oficina de TICs hace entrega de soportes de CDP y CRP.  Adicionalmente remite oficio a la dirección financiera solicitando aclaración sobre la desfinanciación del contrato.   A la fecha de este seguimiento no se tiene respuesta a dicho oficio.</v>
      </c>
      <c r="F55" s="0" t="str">
        <f aca="false">IFERROR(__xludf.dummyfunction("""COMPUTED_VALUE"""),"En desarrollo")</f>
        <v>En desarrollo</v>
      </c>
      <c r="G55" s="0" t="str">
        <f aca="false">IFERROR(__xludf.dummyfunction("""COMPUTED_VALUE"""),"https://drive.google.com/open?id=1PbvzvK0ytOWrE4jdK-CDP8UGYqM57Qwf, https://drive.google.com/open?id=1hx--h5o-9DNhTBpFddoee2wg0KtahROg, https://drive.google.com/open?id=1BNyqfSJoPigZYt0wTrEveDq6S6YhrG9M")</f>
        <v>https://drive.google.com/open?id=1PbvzvK0ytOWrE4jdK-CDP8UGYqM57Qwf, https://drive.google.com/open?id=1hx--h5o-9DNhTBpFddoee2wg0KtahROg, https://drive.google.com/open?id=1BNyqfSJoPigZYt0wTrEveDq6S6YhrG9M</v>
      </c>
    </row>
    <row r="56" customFormat="false" ht="12.75" hidden="false" customHeight="false" outlineLevel="0" collapsed="false">
      <c r="A56" s="0" t="str">
        <f aca="false">IFERROR(MID(D56,1,FIND("|",D56)-1)&amp;"-"&amp;C56,"")</f>
        <v>AICI201801-12-1-3</v>
      </c>
      <c r="B56" s="19" t="n">
        <f aca="false">IFERROR(__xludf.dummyfunction("""COMPUTED_VALUE"""),43742)</f>
        <v>43742</v>
      </c>
      <c r="C56" s="0" t="n">
        <f aca="false">IFERROR(__xludf.dummyfunction("""COMPUTED_VALUE"""),3)</f>
        <v>3</v>
      </c>
      <c r="D56" s="0" t="str">
        <f aca="false">IFERROR(__xludf.dummyfunction("""COMPUTED_VALUE"""),"AICI201801-12-1| Actualizacion del Cronograma de de actividades de la implementación del Sistema de Información segun contrato 2824 de 2015.")</f>
        <v>AICI201801-12-1| Actualizacion del Cronograma de de actividades de la implementación del Sistema de Información segun contrato 2824 de 2015.</v>
      </c>
      <c r="E56" s="0" t="str">
        <f aca="false">IFERROR(__xludf.dummyfunction("""COMPUTED_VALUE"""),"Se evidencia actualización de cronograma de actividades a 2019")</f>
        <v>Se evidencia actualización de cronograma de actividades a 2019</v>
      </c>
      <c r="F56" s="0" t="str">
        <f aca="false">IFERROR(__xludf.dummyfunction("""COMPUTED_VALUE"""),"Completo")</f>
        <v>Completo</v>
      </c>
      <c r="G56" s="20" t="str">
        <f aca="false">IFERROR(__xludf.dummyfunction("""COMPUTED_VALUE"""),"https://drive.google.com/open?id=1XkwDck9h5dlJC5cmkTD3zNZ6R6Uam8U_")</f>
        <v>https://drive.google.com/open?id=1XkwDck9h5dlJC5cmkTD3zNZ6R6Uam8U_</v>
      </c>
    </row>
    <row r="57" customFormat="false" ht="12.75" hidden="false" customHeight="false" outlineLevel="0" collapsed="false">
      <c r="A57" s="0" t="str">
        <f aca="false">IFERROR(MID(D57,1,FIND("|",D57)-1)&amp;"-"&amp;C57,"")</f>
        <v>AICI201801-12-2-3</v>
      </c>
      <c r="B57" s="19" t="n">
        <f aca="false">IFERROR(__xludf.dummyfunction("""COMPUTED_VALUE"""),43742)</f>
        <v>43742</v>
      </c>
      <c r="C57" s="0" t="n">
        <f aca="false">IFERROR(__xludf.dummyfunction("""COMPUTED_VALUE"""),3)</f>
        <v>3</v>
      </c>
      <c r="D57" s="0" t="str">
        <f aca="false">IFERROR(__xludf.dummyfunction("""COMPUTED_VALUE"""),"AICI201801-12-2| Determinar las actividades que poseen retraso y fijar una ruta crítica para equilibrar la ejecución del proyecto.")</f>
        <v>AICI201801-12-2| Determinar las actividades que poseen retraso y fijar una ruta crítica para equilibrar la ejecución del proyecto.</v>
      </c>
      <c r="E57" s="0" t="str">
        <f aca="false">IFERROR(__xludf.dummyfunction("""COMPUTED_VALUE"""),"Se determinan las actividades que tienen retraso, sin embargo no se define la ruta crítica para equilibrar el proyecto.")</f>
        <v>Se determinan las actividades que tienen retraso, sin embargo no se define la ruta crítica para equilibrar el proyecto.</v>
      </c>
      <c r="F57" s="0" t="str">
        <f aca="false">IFERROR(__xludf.dummyfunction("""COMPUTED_VALUE"""),"Atrasado")</f>
        <v>Atrasado</v>
      </c>
    </row>
    <row r="58" customFormat="false" ht="12.75" hidden="false" customHeight="false" outlineLevel="0" collapsed="false">
      <c r="A58" s="0" t="str">
        <f aca="false">IFERROR(MID(D58,1,FIND("|",D58)-1)&amp;"-"&amp;C58,"")</f>
        <v>AICI201801-13-1-3</v>
      </c>
      <c r="B58" s="19" t="n">
        <f aca="false">IFERROR(__xludf.dummyfunction("""COMPUTED_VALUE"""),43742)</f>
        <v>43742</v>
      </c>
      <c r="C58" s="0" t="n">
        <f aca="false">IFERROR(__xludf.dummyfunction("""COMPUTED_VALUE"""),3)</f>
        <v>3</v>
      </c>
      <c r="D58" s="0" t="str">
        <f aca="false">IFERROR(__xludf.dummyfunction("""COMPUTED_VALUE"""),"AICI201801-13-1| Hacer seguimiento a los ANS del proveedor Carvajal SAS y exigir su cumplimiento. Para futuros servicios contratados se debe establecer conjuntamente el ANS.")</f>
        <v>AICI201801-13-1| Hacer seguimiento a los ANS del proveedor Carvajal SAS y exigir su cumplimiento. Para futuros servicios contratados se debe establecer conjuntamente el ANS.</v>
      </c>
      <c r="E58" s="0" t="str">
        <f aca="false">IFERROR(__xludf.dummyfunction("""COMPUTED_VALUE"""),"Se realizó seguimiento al ANS del contrato con corte a 30 de septiembre de 2019.")</f>
        <v>Se realizó seguimiento al ANS del contrato con corte a 30 de septiembre de 2019.</v>
      </c>
      <c r="F58" s="0" t="str">
        <f aca="false">IFERROR(__xludf.dummyfunction("""COMPUTED_VALUE"""),"Completo")</f>
        <v>Completo</v>
      </c>
    </row>
    <row r="59" customFormat="false" ht="12.75" hidden="false" customHeight="false" outlineLevel="0" collapsed="false">
      <c r="A59" s="0" t="str">
        <f aca="false">IFERROR(MID(D59,1,FIND("|",D59)-1)&amp;"-"&amp;C59,"")</f>
        <v>AICI201801-15-1-3</v>
      </c>
      <c r="B59" s="19" t="n">
        <f aca="false">IFERROR(__xludf.dummyfunction("""COMPUTED_VALUE"""),43742)</f>
        <v>43742</v>
      </c>
      <c r="C59" s="0" t="n">
        <f aca="false">IFERROR(__xludf.dummyfunction("""COMPUTED_VALUE"""),3)</f>
        <v>3</v>
      </c>
      <c r="D59" s="0" t="str">
        <f aca="false">IFERROR(__xludf.dummyfunction("""COMPUTED_VALUE"""),"AICI201801-15-1| Realizar evalución de controles y medidas para los riesgos definidos, fortaleciendola y reevaluando los riesgos residuales.")</f>
        <v>AICI201801-15-1| Realizar evalución de controles y medidas para los riesgos definidos, fortaleciendola y reevaluando los riesgos residuales.</v>
      </c>
      <c r="E59" s="0" t="str">
        <f aca="false">IFERROR(__xludf.dummyfunction("""COMPUTED_VALUE"""),"Actividad subsanada en el seguimiento anterior. Se aplican contra medidas mitigando los riesgos de infraestructura con la presentación e inclusión en el banco de proyectos del proyecto de mejoramiento de infraestructura para las sub redes por un valor de "&amp;"6 mil millones de pesos y materializado en el contrato c01pccntr.664635-2018 suscrito entre las SDS y la empresa nueva era soluciones ")</f>
        <v>Actividad subsanada en el seguimiento anterior. Se aplican contra medidas mitigando los riesgos de infraestructura con la presentación e inclusión en el banco de proyectos del proyecto de mejoramiento de infraestructura para las sub redes por un valor de 6 mil millones de pesos y materializado en el contrato c01pccntr.664635-2018 suscrito entre las SDS y la empresa nueva era soluciones </v>
      </c>
      <c r="F59" s="0" t="str">
        <f aca="false">IFERROR(__xludf.dummyfunction("""COMPUTED_VALUE"""),"Completo")</f>
        <v>Completo</v>
      </c>
    </row>
    <row r="60" customFormat="false" ht="12.75" hidden="false" customHeight="false" outlineLevel="0" collapsed="false">
      <c r="A60" s="0" t="str">
        <f aca="false">IFERROR(MID(D60,1,FIND("|",D60)-1)&amp;"-"&amp;C60,"")</f>
        <v>AICI201801-14-1-3</v>
      </c>
      <c r="B60" s="19" t="n">
        <f aca="false">IFERROR(__xludf.dummyfunction("""COMPUTED_VALUE"""),43742)</f>
        <v>43742</v>
      </c>
      <c r="C60" s="0" t="n">
        <f aca="false">IFERROR(__xludf.dummyfunction("""COMPUTED_VALUE"""),3)</f>
        <v>3</v>
      </c>
      <c r="D60" s="0" t="str">
        <f aca="false">IFERROR(__xludf.dummyfunction("""COMPUTED_VALUE"""),"AICI201801-14-1| Reevaluación de la ponderación de los riesgos durante el 4 trimestre de 2018. Para nuevos proyectos similares hacer hacer análisis riguroso de los riesgos y su seguimiento.")</f>
        <v>AICI201801-14-1| Reevaluación de la ponderación de los riesgos durante el 4 trimestre de 2018. Para nuevos proyectos similares hacer hacer análisis riguroso de los riesgos y su seguimiento.</v>
      </c>
      <c r="E60" s="0" t="str">
        <f aca="false">IFERROR(__xludf.dummyfunction("""COMPUTED_VALUE"""),"se realizó re evaluación de riesgos del proyecto ")</f>
        <v>se realizó re evaluación de riesgos del proyecto </v>
      </c>
      <c r="F60" s="0" t="str">
        <f aca="false">IFERROR(__xludf.dummyfunction("""COMPUTED_VALUE"""),"Completo")</f>
        <v>Completo</v>
      </c>
    </row>
    <row r="61" customFormat="false" ht="12.75" hidden="false" customHeight="false" outlineLevel="0" collapsed="false">
      <c r="A61" s="0" t="str">
        <f aca="false">IFERROR(MID(D61,1,FIND("|",D61)-1)&amp;"-"&amp;C61,"")</f>
        <v>AICI201801-5-1-4</v>
      </c>
      <c r="B61" s="19" t="n">
        <f aca="false">IFERROR(__xludf.dummyfunction("""COMPUTED_VALUE"""),44376)</f>
        <v>44376</v>
      </c>
      <c r="C61" s="0" t="n">
        <f aca="false">IFERROR(__xludf.dummyfunction("""COMPUTED_VALUE"""),4)</f>
        <v>4</v>
      </c>
      <c r="D61" s="0" t="str">
        <f aca="false">IFERROR(__xludf.dummyfunction("""COMPUTED_VALUE"""),"AICI201801-5-1| Actualización del registro de los Activos de Información de la oficina de Sistemas de Información - TIC, de acuerdo a los lineaminentos establecios en la guia para la gestión y clasificacion de los activos de informacion- MINTIC, ley 1712 "&amp;"del 2014 y alineado con Dominio 8 Gestión de Activos del anexo A de la norma ISO 27001:2013.")</f>
        <v>AICI201801-5-1| Actualización del registro de los Activos de Información de la oficina de Sistemas de Información - TIC, de acuerdo a los lineaminentos establecios en la guia para la gestión y clasificacion de los activos de informacion- MINTIC, ley 1712 del 2014 y alineado con Dominio 8 Gestión de Activos del anexo A de la norma ISO 27001:2013.</v>
      </c>
      <c r="E61" s="0" t="str">
        <f aca="false">IFERROR(__xludf.dummyfunction("""COMPUTED_VALUE"""),"La oficina de sistemas de Información y TIC's realizó un inventario de activos de información.   Se recomienda actualizar dicho inventario de manera periódica y publicarlo.")</f>
        <v>La oficina de sistemas de Información y TIC's realizó un inventario de activos de información.   Se recomienda actualizar dicho inventario de manera periódica y publicarlo.</v>
      </c>
      <c r="F61" s="0" t="str">
        <f aca="false">IFERROR(__xludf.dummyfunction("""COMPUTED_VALUE"""),"Completo")</f>
        <v>Completo</v>
      </c>
      <c r="G61" s="20" t="str">
        <f aca="false">IFERROR(__xludf.dummyfunction("""COMPUTED_VALUE"""),"https://drive.google.com/open?id=11D0L58rZ1FggfMu5PmJSe_x3TG0yfBkx")</f>
        <v>https://drive.google.com/open?id=11D0L58rZ1FggfMu5PmJSe_x3TG0yfBkx</v>
      </c>
    </row>
    <row r="62" customFormat="false" ht="12.75" hidden="false" customHeight="false" outlineLevel="0" collapsed="false">
      <c r="A62" s="0" t="str">
        <f aca="false">IFERROR(MID(D62,1,FIND("|",D62)-1)&amp;"-"&amp;C62,"")</f>
        <v>AICI201801-6-1-4</v>
      </c>
      <c r="B62" s="19" t="n">
        <f aca="false">IFERROR(__xludf.dummyfunction("""COMPUTED_VALUE"""),44376)</f>
        <v>44376</v>
      </c>
      <c r="C62" s="0" t="n">
        <f aca="false">IFERROR(__xludf.dummyfunction("""COMPUTED_VALUE"""),4)</f>
        <v>4</v>
      </c>
      <c r="D62" s="0" t="str">
        <f aca="false">IFERROR(__xludf.dummyfunction("""COMPUTED_VALUE"""),"AICI201801-6-1| Identificar y coinciliar el 100% de los activos informáticos organizacionales (hardware y software), teniendo en cuenta las carteras individuales y la configuración, de tal manera que se establezca una unica base de datos.")</f>
        <v>AICI201801-6-1| Identificar y coinciliar el 100% de los activos informáticos organizacionales (hardware y software), teniendo en cuenta las carteras individuales y la configuración, de tal manera que se establezca una unica base de datos.</v>
      </c>
      <c r="E62" s="0" t="str">
        <f aca="false">IFERROR(__xludf.dummyfunction("""COMPUTED_VALUE"""),"La acción de conciliación se recoge en la auditoría y el pmj de Equipos de computo de 2020")</f>
        <v>La acción de conciliación se recoge en la auditoría y el pmj de Equipos de computo de 2020</v>
      </c>
      <c r="F62" s="0" t="str">
        <f aca="false">IFERROR(__xludf.dummyfunction("""COMPUTED_VALUE"""),"Completo")</f>
        <v>Completo</v>
      </c>
    </row>
    <row r="63" customFormat="false" ht="12.75" hidden="false" customHeight="false" outlineLevel="0" collapsed="false">
      <c r="A63" s="0" t="str">
        <f aca="false">IFERROR(MID(D63,1,FIND("|",D63)-1)&amp;"-"&amp;C63,"")</f>
        <v>AICI201801-10-2-4</v>
      </c>
      <c r="B63" s="19" t="n">
        <f aca="false">IFERROR(__xludf.dummyfunction("""COMPUTED_VALUE"""),44376)</f>
        <v>44376</v>
      </c>
      <c r="C63" s="0" t="n">
        <f aca="false">IFERROR(__xludf.dummyfunction("""COMPUTED_VALUE"""),4)</f>
        <v>4</v>
      </c>
      <c r="D63" s="0" t="str">
        <f aca="false">IFERROR(__xludf.dummyfunction("""COMPUTED_VALUE"""),"AICI201801-10-2| Determinar las actividades que poseen retraso y fijar una ruta crítica para equilibrar la ejecución del proyecto.")</f>
        <v>AICI201801-10-2| Determinar las actividades que poseen retraso y fijar una ruta crítica para equilibrar la ejecución del proyecto.</v>
      </c>
      <c r="E63" s="0" t="str">
        <f aca="false">IFERROR(__xludf.dummyfunction("""COMPUTED_VALUE"""),"El convenio 1861 - 2017 mediante el cual se implementó el sistema Servinte Clinical Suite Enterprice fue liquidado y el proyecto de implementación terminó en la vigencia 2020. ")</f>
        <v>El convenio 1861 - 2017 mediante el cual se implementó el sistema Servinte Clinical Suite Enterprice fue liquidado y el proyecto de implementación terminó en la vigencia 2020. </v>
      </c>
      <c r="F63" s="0" t="str">
        <f aca="false">IFERROR(__xludf.dummyfunction("""COMPUTED_VALUE"""),"Completo")</f>
        <v>Completo</v>
      </c>
    </row>
    <row r="64" customFormat="false" ht="12.75" hidden="false" customHeight="false" outlineLevel="0" collapsed="false">
      <c r="A64" s="0" t="str">
        <f aca="false">IFERROR(MID(D64,1,FIND("|",D64)-1)&amp;"-"&amp;C64,"")</f>
        <v>AICI201801-12-2-4</v>
      </c>
      <c r="B64" s="19" t="n">
        <f aca="false">IFERROR(__xludf.dummyfunction("""COMPUTED_VALUE"""),44376)</f>
        <v>44376</v>
      </c>
      <c r="C64" s="0" t="n">
        <f aca="false">IFERROR(__xludf.dummyfunction("""COMPUTED_VALUE"""),4)</f>
        <v>4</v>
      </c>
      <c r="D64" s="0" t="str">
        <f aca="false">IFERROR(__xludf.dummyfunction("""COMPUTED_VALUE"""),"AICI201801-12-2| Determinar las actividades que poseen retraso y fijar una ruta crítica para equilibrar la ejecución del proyecto.")</f>
        <v>AICI201801-12-2| Determinar las actividades que poseen retraso y fijar una ruta crítica para equilibrar la ejecución del proyecto.</v>
      </c>
      <c r="E64" s="0" t="str">
        <f aca="false">IFERROR(__xludf.dummyfunction("""COMPUTED_VALUE"""),"El convenio 1861 - 2017 mediante el cual se implementó el sistema Servinte Clinical Suite Enterprice fue liquidado y el proyecto de implementación terminó en la vigencia 2020. ")</f>
        <v>El convenio 1861 - 2017 mediante el cual se implementó el sistema Servinte Clinical Suite Enterprice fue liquidado y el proyecto de implementación terminó en la vigencia 2020. </v>
      </c>
      <c r="F64" s="0" t="str">
        <f aca="false">IFERROR(__xludf.dummyfunction("""COMPUTED_VALUE"""),"Completo")</f>
        <v>Completo</v>
      </c>
    </row>
    <row r="65" customFormat="false" ht="12.75" hidden="false" customHeight="false" outlineLevel="0" collapsed="false">
      <c r="A65" s="0" t="str">
        <f aca="false">IFERROR(MID(D65,1,FIND("|",D65)-1)&amp;"-"&amp;C65,"")</f>
        <v>AICI201801-11-1-4</v>
      </c>
      <c r="B65" s="19" t="n">
        <f aca="false">IFERROR(__xludf.dummyfunction("""COMPUTED_VALUE"""),44376)</f>
        <v>44376</v>
      </c>
      <c r="C65" s="0" t="n">
        <f aca="false">IFERROR(__xludf.dummyfunction("""COMPUTED_VALUE"""),4)</f>
        <v>4</v>
      </c>
      <c r="D65" s="0" t="str">
        <f aca="false">IFERROR(__xludf.dummyfunction("""COMPUTED_VALUE"""),"AICI201801-11-1| Entrega copia Certificado de Disponibilidad Presupuestal y Certificado de Registro Presupuestal")</f>
        <v>AICI201801-11-1| Entrega copia Certificado de Disponibilidad Presupuestal y Certificado de Registro Presupuestal</v>
      </c>
      <c r="E65" s="0" t="str">
        <f aca="false">IFERROR(__xludf.dummyfunction("""COMPUTED_VALUE"""),"El convenio 1861 - 2017 mediante el cual se implementó el sistema Servinte Clinical Suite Enterprice fue liquidado y el proyecto de implementación terminó en la vigencia 2020. ")</f>
        <v>El convenio 1861 - 2017 mediante el cual se implementó el sistema Servinte Clinical Suite Enterprice fue liquidado y el proyecto de implementación terminó en la vigencia 2020. </v>
      </c>
      <c r="F65" s="0" t="str">
        <f aca="false">IFERROR(__xludf.dummyfunction("""COMPUTED_VALUE"""),"Completo")</f>
        <v>Completo</v>
      </c>
    </row>
    <row r="66" customFormat="false" ht="12.75" hidden="false" customHeight="false" outlineLevel="0" collapsed="false">
      <c r="A66" s="0" t="str">
        <f aca="false">IFERROR(MID(D66,1,FIND("|",D66)-1)&amp;"-"&amp;C66,"")</f>
        <v/>
      </c>
    </row>
    <row r="67" customFormat="false" ht="12.75" hidden="false" customHeight="false" outlineLevel="0" collapsed="false">
      <c r="A67" s="0" t="str">
        <f aca="false">IFERROR(MID(D67,1,FIND("|",D67)-1)&amp;"-"&amp;C67,"")</f>
        <v/>
      </c>
    </row>
    <row r="68" customFormat="false" ht="12.75" hidden="false" customHeight="false" outlineLevel="0" collapsed="false">
      <c r="A68" s="0" t="str">
        <f aca="false">IFERROR(MID(D68,1,FIND("|",D68)-1)&amp;"-"&amp;C68,"")</f>
        <v/>
      </c>
      <c r="G68" s="0" t="str">
        <f aca="false">IFERROR(__xludf.dummyfunction("""COMPUTED_VALUE""")," ")</f>
        <v> </v>
      </c>
    </row>
    <row r="69" customFormat="false" ht="12.75" hidden="false" customHeight="false" outlineLevel="0" collapsed="false">
      <c r="A69" s="0" t="str">
        <f aca="false">IFERROR(MID(D69,1,FIND("|",D69)-1)&amp;"-"&amp;C69,"")</f>
        <v/>
      </c>
    </row>
    <row r="70" customFormat="false" ht="12.75" hidden="false" customHeight="false" outlineLevel="0" collapsed="false">
      <c r="A70" s="0" t="str">
        <f aca="false">IFERROR(MID(D70,1,FIND("|",D70)-1)&amp;"-"&amp;C70,"")</f>
        <v/>
      </c>
    </row>
    <row r="71" customFormat="false" ht="12.75" hidden="false" customHeight="false" outlineLevel="0" collapsed="false">
      <c r="A71" s="0" t="str">
        <f aca="false">IFERROR(MID(D71,1,FIND("|",D71)-1)&amp;"-"&amp;C71,"")</f>
        <v/>
      </c>
    </row>
    <row r="72" customFormat="false" ht="12.75" hidden="false" customHeight="false" outlineLevel="0" collapsed="false">
      <c r="A72" s="0" t="str">
        <f aca="false">IFERROR(MID(D72,1,FIND("|",D72)-1)&amp;"-"&amp;C72,"")</f>
        <v/>
      </c>
    </row>
    <row r="73" customFormat="false" ht="12.75" hidden="false" customHeight="false" outlineLevel="0" collapsed="false">
      <c r="A73" s="0" t="str">
        <f aca="false">IFERROR(MID(D73,1,FIND("|",D73)-1)&amp;"-"&amp;C73,"")</f>
        <v/>
      </c>
    </row>
    <row r="74" customFormat="false" ht="12.75" hidden="false" customHeight="false" outlineLevel="0" collapsed="false">
      <c r="A74" s="0" t="str">
        <f aca="false">IFERROR(MID(D74,1,FIND("|",D74)-1)&amp;"-"&amp;C74,"")</f>
        <v/>
      </c>
    </row>
    <row r="75" customFormat="false" ht="12.75" hidden="false" customHeight="false" outlineLevel="0" collapsed="false">
      <c r="A75" s="0" t="str">
        <f aca="false">IFERROR(MID(D75,1,FIND("|",D75)-1)&amp;"-"&amp;C75,"")</f>
        <v/>
      </c>
    </row>
    <row r="76" customFormat="false" ht="12.75" hidden="false" customHeight="false" outlineLevel="0" collapsed="false">
      <c r="A76" s="0" t="str">
        <f aca="false">IFERROR(MID(D76,1,FIND("|",D76)-1)&amp;"-"&amp;C76,"")</f>
        <v/>
      </c>
    </row>
    <row r="77" customFormat="false" ht="12.75" hidden="false" customHeight="false" outlineLevel="0" collapsed="false">
      <c r="A77" s="0" t="str">
        <f aca="false">IFERROR(MID(D77,1,FIND("|",D77)-1)&amp;"-"&amp;C77,"")</f>
        <v/>
      </c>
    </row>
    <row r="78" customFormat="false" ht="12.75" hidden="false" customHeight="false" outlineLevel="0" collapsed="false">
      <c r="A78" s="0" t="str">
        <f aca="false">IFERROR(MID(D78,1,FIND("|",D78)-1)&amp;"-"&amp;C78,"")</f>
        <v/>
      </c>
    </row>
    <row r="79" customFormat="false" ht="12.75" hidden="false" customHeight="false" outlineLevel="0" collapsed="false">
      <c r="A79" s="0" t="str">
        <f aca="false">IFERROR(MID(D79,1,FIND("|",D79)-1)&amp;"-"&amp;C79,"")</f>
        <v/>
      </c>
    </row>
    <row r="80" customFormat="false" ht="12.75" hidden="false" customHeight="false" outlineLevel="0" collapsed="false">
      <c r="A80" s="0" t="str">
        <f aca="false">IFERROR(MID(D80,1,FIND("|",D80)-1)&amp;"-"&amp;C80,"")</f>
        <v/>
      </c>
    </row>
    <row r="81" customFormat="false" ht="12.75" hidden="false" customHeight="false" outlineLevel="0" collapsed="false">
      <c r="A81" s="0" t="str">
        <f aca="false">IFERROR(MID(D81,1,FIND("|",D81)-1)&amp;"-"&amp;C81,"")</f>
        <v/>
      </c>
    </row>
    <row r="82" customFormat="false" ht="12.75" hidden="false" customHeight="false" outlineLevel="0" collapsed="false">
      <c r="A82" s="0" t="str">
        <f aca="false">IFERROR(MID(D82,1,FIND("|",D82)-1)&amp;"-"&amp;C82,"")</f>
        <v/>
      </c>
    </row>
    <row r="83" customFormat="false" ht="12.75" hidden="false" customHeight="false" outlineLevel="0" collapsed="false">
      <c r="A83" s="0" t="str">
        <f aca="false">IFERROR(MID(D83,1,FIND("|",D83)-1)&amp;"-"&amp;C83,"")</f>
        <v/>
      </c>
    </row>
    <row r="84" customFormat="false" ht="12.75" hidden="false" customHeight="false" outlineLevel="0" collapsed="false">
      <c r="A84" s="0" t="str">
        <f aca="false">IFERROR(MID(D84,1,FIND("|",D84)-1)&amp;"-"&amp;C84,"")</f>
        <v/>
      </c>
    </row>
    <row r="85" customFormat="false" ht="12.75" hidden="false" customHeight="false" outlineLevel="0" collapsed="false">
      <c r="A85" s="0" t="str">
        <f aca="false">IFERROR(MID(D85,1,FIND("|",D85)-1)&amp;"-"&amp;C85,"")</f>
        <v/>
      </c>
    </row>
    <row r="86" customFormat="false" ht="12.75" hidden="false" customHeight="false" outlineLevel="0" collapsed="false">
      <c r="A86" s="0" t="str">
        <f aca="false">IFERROR(MID(D86,1,FIND("|",D86)-1)&amp;"-"&amp;C86,"")</f>
        <v/>
      </c>
    </row>
    <row r="87" customFormat="false" ht="12.75" hidden="false" customHeight="false" outlineLevel="0" collapsed="false">
      <c r="A87" s="0" t="str">
        <f aca="false">IFERROR(MID(D87,1,FIND("|",D87)-1)&amp;"-"&amp;C87,"")</f>
        <v/>
      </c>
    </row>
    <row r="88" customFormat="false" ht="12.75" hidden="false" customHeight="false" outlineLevel="0" collapsed="false">
      <c r="A88" s="0" t="str">
        <f aca="false">IFERROR(MID(D88,1,FIND("|",D88)-1)&amp;"-"&amp;C88,"")</f>
        <v/>
      </c>
    </row>
    <row r="89" customFormat="false" ht="12.75" hidden="false" customHeight="false" outlineLevel="0" collapsed="false">
      <c r="A89" s="0" t="str">
        <f aca="false">IFERROR(MID(D89,1,FIND("|",D89)-1)&amp;"-"&amp;C89,"")</f>
        <v/>
      </c>
    </row>
    <row r="90" customFormat="false" ht="12.75" hidden="false" customHeight="false" outlineLevel="0" collapsed="false">
      <c r="A90" s="0" t="str">
        <f aca="false">IFERROR(MID(D90,1,FIND("|",D90)-1)&amp;"-"&amp;C90,"")</f>
        <v/>
      </c>
    </row>
    <row r="91" customFormat="false" ht="12.75" hidden="false" customHeight="false" outlineLevel="0" collapsed="false">
      <c r="A91" s="0" t="str">
        <f aca="false">IFERROR(MID(D91,1,FIND("|",D91)-1)&amp;"-"&amp;C91,"")</f>
        <v/>
      </c>
    </row>
    <row r="92" customFormat="false" ht="12.75" hidden="false" customHeight="false" outlineLevel="0" collapsed="false">
      <c r="A92" s="0" t="str">
        <f aca="false">IFERROR(MID(D92,1,FIND("|",D92)-1)&amp;"-"&amp;C92,"")</f>
        <v/>
      </c>
    </row>
    <row r="93" customFormat="false" ht="12.75" hidden="false" customHeight="false" outlineLevel="0" collapsed="false">
      <c r="A93" s="0" t="str">
        <f aca="false">IFERROR(MID(D93,1,FIND("|",D93)-1)&amp;"-"&amp;C93,"")</f>
        <v/>
      </c>
    </row>
    <row r="94" customFormat="false" ht="12.75" hidden="false" customHeight="false" outlineLevel="0" collapsed="false">
      <c r="A94" s="0" t="str">
        <f aca="false">IFERROR(MID(D94,1,FIND("|",D94)-1)&amp;"-"&amp;C94,"")</f>
        <v/>
      </c>
    </row>
    <row r="95" customFormat="false" ht="12.75" hidden="false" customHeight="false" outlineLevel="0" collapsed="false">
      <c r="A95" s="0" t="str">
        <f aca="false">IFERROR(MID(D95,1,FIND("|",D95)-1)&amp;"-"&amp;C95,"")</f>
        <v/>
      </c>
    </row>
    <row r="96" customFormat="false" ht="12.75" hidden="false" customHeight="false" outlineLevel="0" collapsed="false">
      <c r="A96" s="0" t="str">
        <f aca="false">IFERROR(MID(D96,1,FIND("|",D96)-1)&amp;"-"&amp;C96,"")</f>
        <v/>
      </c>
    </row>
    <row r="97" customFormat="false" ht="12.75" hidden="false" customHeight="false" outlineLevel="0" collapsed="false">
      <c r="A97" s="0" t="str">
        <f aca="false">IFERROR(MID(D97,1,FIND("|",D97)-1)&amp;"-"&amp;C97,"")</f>
        <v/>
      </c>
    </row>
    <row r="98" customFormat="false" ht="12.75" hidden="false" customHeight="false" outlineLevel="0" collapsed="false">
      <c r="A98" s="0" t="str">
        <f aca="false">IFERROR(MID(D98,1,FIND("|",D98)-1)&amp;"-"&amp;C98,"")</f>
        <v/>
      </c>
    </row>
    <row r="99" customFormat="false" ht="12.75" hidden="false" customHeight="false" outlineLevel="0" collapsed="false">
      <c r="A99" s="0" t="str">
        <f aca="false">IFERROR(MID(D99,1,FIND("|",D99)-1)&amp;"-"&amp;C99,"")</f>
        <v/>
      </c>
    </row>
    <row r="100" customFormat="false" ht="12.75" hidden="false" customHeight="false" outlineLevel="0" collapsed="false">
      <c r="A100" s="0" t="str">
        <f aca="false">IFERROR(MID(D100,1,FIND("|",D100)-1)&amp;"-"&amp;C100,"")</f>
        <v/>
      </c>
    </row>
    <row r="101" customFormat="false" ht="12.75" hidden="false" customHeight="false" outlineLevel="0" collapsed="false">
      <c r="A101" s="0" t="str">
        <f aca="false">IFERROR(MID(D101,1,FIND("|",D101)-1)&amp;"-"&amp;C101,"")</f>
        <v/>
      </c>
    </row>
    <row r="102" customFormat="false" ht="12.75" hidden="false" customHeight="false" outlineLevel="0" collapsed="false">
      <c r="A102" s="0" t="str">
        <f aca="false">IFERROR(MID(D102,1,FIND("|",D102)-1)&amp;"-"&amp;C102,"")</f>
        <v/>
      </c>
    </row>
  </sheetData>
  <hyperlinks>
    <hyperlink ref="G5" r:id="rId1" display="https://drive.google.com/open?id=1ImhsmZhwXz5_ywx748WG4o8FIDPaEZxH"/>
    <hyperlink ref="G6" r:id="rId2" display="https://drive.google.com/open?id=1k5LnryQe2ykwTQYH8c9_BZE34N1zFor5"/>
    <hyperlink ref="G20" r:id="rId3" display="https://drive.google.com/open?id=11vcmhGbnba87vNAY77K_mtrMcD0sllSp"/>
    <hyperlink ref="G21" r:id="rId4" display="https://drive.google.com/open?id=1RgR8iXwR8S6IPzOBingb4UI74Pir13l1"/>
    <hyperlink ref="G27" r:id="rId5" display="https://drive.google.com/open?id=1Y_nc2Mjn0SBIZi9bNw3A-l8nqvt5zsx_"/>
    <hyperlink ref="G29" r:id="rId6" display="https://drive.google.com/open?id=1fKIYPobRwEuaFQP6-H1kxFuK58YKhk_A"/>
    <hyperlink ref="G31" r:id="rId7" display="https://drive.google.com/open?id=17_ijv3nNzkIa0Rj4B_nXLZ2uKs7LBpQ9"/>
    <hyperlink ref="G39" r:id="rId8" display="https://drive.google.com/open?id=1-ATpfxhavGyGxwQm_6q9Q98jpc-zuDCP"/>
    <hyperlink ref="G40" r:id="rId9" display="https://drive.google.com/open?id=1qTB_hqOF8O5iJws4dOdOB4GO-4YQ37M1"/>
    <hyperlink ref="G43" r:id="rId10" display="https://drive.google.com/open?id=1hyUxaBnNBVowab16amlZoabWFJyOoEnj"/>
    <hyperlink ref="G46" r:id="rId11" display="https://drive.google.com/open?id=1p0eJyWL3A-yRWdZyPeMbTz-X9oIWLm0Z"/>
    <hyperlink ref="G47" r:id="rId12" display="https://drive.google.com/open?id=1umlZHZBTCgle60g3Jk0nE1o_bhtNazUE"/>
    <hyperlink ref="G49" r:id="rId13" display="https://drive.google.com/open?id=1rHkUGvZCTF8XWo0rTjGWQO2JZGs84zoN"/>
    <hyperlink ref="G51" r:id="rId14" display="https://drive.google.com/open?id=1GRxap0rTNDDCBM64NLSmjuY9tp4vA7Iy"/>
    <hyperlink ref="G53" r:id="rId15" display="https://drive.google.com/open?id=1aoGVs71oRlhuEZ1H3GHLzpz_lWC17vB3"/>
    <hyperlink ref="G56" r:id="rId16" display="https://drive.google.com/open?id=1XkwDck9h5dlJC5cmkTD3zNZ6R6Uam8U_"/>
    <hyperlink ref="G61" r:id="rId17" display="https://drive.google.com/open?id=11D0L58rZ1FggfMu5PmJSe_x3TG0yfBkx"/>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1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9.42"/>
    <col collapsed="false" customWidth="true" hidden="false" outlineLevel="0" max="4" min="4" style="0" width="19"/>
  </cols>
  <sheetData>
    <row r="1" customFormat="false" ht="12.75" hidden="false" customHeight="false" outlineLevel="0" collapsed="false">
      <c r="A1" s="13" t="s">
        <v>1850</v>
      </c>
      <c r="B1" s="13" t="s">
        <v>1838</v>
      </c>
      <c r="C1" s="13" t="s">
        <v>1839</v>
      </c>
      <c r="D1" s="13" t="s">
        <v>1840</v>
      </c>
      <c r="E1" s="13" t="s">
        <v>1841</v>
      </c>
      <c r="F1" s="13" t="s">
        <v>1842</v>
      </c>
      <c r="G1" s="13" t="s">
        <v>1843</v>
      </c>
    </row>
    <row r="2" customFormat="false" ht="7.5" hidden="false" customHeight="true" outlineLevel="0" collapsed="false">
      <c r="A2" s="17"/>
      <c r="B2" s="17"/>
      <c r="C2" s="17"/>
      <c r="D2" s="17"/>
      <c r="E2" s="17"/>
      <c r="F2" s="17"/>
      <c r="G2" s="17"/>
    </row>
    <row r="3" customFormat="false" ht="14.2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c r="J3" s="21"/>
    </row>
    <row r="4" customFormat="false" ht="14.25" hidden="false" customHeight="false" outlineLevel="0" collapsed="false">
      <c r="A4" s="18" t="str">
        <f aca="false">IFERROR(MID(D4,1,FIND("|",D4)-1)&amp;"-"&amp;C4,"")</f>
        <v>AECI201802-2-1-1</v>
      </c>
      <c r="B4" s="19" t="n">
        <f aca="false">IFERROR(__xludf.dummyfunction("""COMPUTED_VALUE"""),43665)</f>
        <v>43665</v>
      </c>
      <c r="C4" s="0" t="n">
        <f aca="false">IFERROR(__xludf.dummyfunction("""COMPUTED_VALUE"""),1)</f>
        <v>1</v>
      </c>
      <c r="D4" s="0" t="str">
        <f aca="false">IFERROR(__xludf.dummyfunction("""COMPUTED_VALUE"""),"AECI201802-2-1| Socializacion y sensibilizacion al personal sobre la importancia de informar de forma asertiva sobre la clasificacion hecha y la expectativa de la oportunidad de la atencion de acuerdo con la misma - 30/11/2018")</f>
        <v>AECI201802-2-1| Socializacion y sensibilizacion al personal sobre la importancia de informar de forma asertiva sobre la clasificacion hecha y la expectativa de la oportunidad de la atencion de acuerdo con la misma - 30/11/2018</v>
      </c>
      <c r="E4" s="0" t="str">
        <f aca="false">IFERROR(__xludf.dummyfunction("""COMPUTED_VALUE"""),"Se determinó en primera instancia actualizar la  guía para la clasificación de triage y documentarla debidamente  con el concurso de médicos especialistas de la subred,  una vez ya en la intranet, se socializó a través de correo y/o en reunión de grupo. C"&amp;"onscientes de la importancia de la estrategia de capacitación y considerando rotación del personal y los resultados de la auditoría de pertinencia de la clasificación realizada por los líderes de los servicios de urgencias, se continuó durante el mes de j"&amp;"ulio de este año con  capacitaciones al personal de enfermería y a los médicos generales, incluido los líderes de la diferentes sedes que conforman la subred norte.  que realizan triage en las sedes de menor complejidad, utilizando recurso propio especial"&amp;"izado y de convenio docencia servicio, logrando una participación de 40 profesionales debidamente capacitados en la institución Protect Training. EL Documento quedo normalizado con el codigo MI-GU-O-0102 Gui de Triage y el segundo MI-GU-P-0102 Procedimien"&amp;"to de atencion integral en Urgencias")</f>
        <v>Se determinó en primera instancia actualizar la  guía para la clasificación de triage y documentarla debidamente  con el concurso de médicos especialistas de la subred,  una vez ya en la intranet, se socializó a través de correo y/o en reunión de grupo. Conscientes de la importancia de la estrategia de capacitación y considerando rotación del personal y los resultados de la auditoría de pertinencia de la clasificación realizada por los líderes de los servicios de urgencias, se continuó durante el mes de julio de este año con  capacitaciones al personal de enfermería y a los médicos generales, incluido los líderes de la diferentes sedes que conforman la subred norte.  que realizan triage en las sedes de menor complejidad, utilizando recurso propio especializado y de convenio docencia servicio, logrando una participación de 40 profesionales debidamente capacitados en la institución Protect Training. EL Documento quedo normalizado con el codigo MI-GU-O-0102 Gui de Triage y el segundo MI-GU-P-0102 Procedimiento de atencion integral en Urgencias</v>
      </c>
      <c r="F4" s="0" t="str">
        <f aca="false">IFERROR(__xludf.dummyfunction("""COMPUTED_VALUE"""),"En desarrollo")</f>
        <v>En desarrollo</v>
      </c>
      <c r="G4" s="0" t="str">
        <f aca="false">IFERROR(__xludf.dummyfunction("""COMPUTED_VALUE"""),"https://drive.google.com/open?id=1rkyT326CqxxWFxR5BCudJEUK4edj90Zz, https://drive.google.com/open?id=1H_VbWydgVhM42kNe-J2yYSqa5wzdohP-, https://drive.google.com/open?id=1uRIi_Noa5DkT4ghGZrbP6G9w-X7OPncM, https://drive.google.com/open?id=1ODq3QDDcmi7LhHjtJ"&amp;"Rjv90mOwtxFl6_x")</f>
        <v>https://drive.google.com/open?id=1rkyT326CqxxWFxR5BCudJEUK4edj90Zz, https://drive.google.com/open?id=1H_VbWydgVhM42kNe-J2yYSqa5wzdohP-, https://drive.google.com/open?id=1uRIi_Noa5DkT4ghGZrbP6G9w-X7OPncM, https://drive.google.com/open?id=1ODq3QDDcmi7LhHjtJRjv90mOwtxFl6_x</v>
      </c>
    </row>
    <row r="5" customFormat="false" ht="14.25" hidden="false" customHeight="false" outlineLevel="0" collapsed="false">
      <c r="A5" s="18" t="str">
        <f aca="false">IFERROR(MID(D5,1,FIND("|",D5)-1)&amp;"-"&amp;C5,"")</f>
        <v>AECI201802-4-1-1</v>
      </c>
      <c r="B5" s="19" t="n">
        <f aca="false">IFERROR(__xludf.dummyfunction("""COMPUTED_VALUE"""),43665)</f>
        <v>43665</v>
      </c>
      <c r="C5" s="0" t="n">
        <f aca="false">IFERROR(__xludf.dummyfunction("""COMPUTED_VALUE"""),1)</f>
        <v>1</v>
      </c>
      <c r="D5" s="0" t="str">
        <f aca="false">IFERROR(__xludf.dummyfunction("""COMPUTED_VALUE"""),"AECI201802-4-1| Realizar revisión,ajuste e implementación de los procedimientos UX-P-01-01-PROCEDIMIENTO VALORACION, CLASIFICACION DE URGENCIAS y UX-P-02-01-PROCEDIMIENTO ATENCION INTEGRAL DE URGENCIAS,incluyendo los riesgos pertinentes - 01/08/2018")</f>
        <v>AECI201802-4-1| Realizar revisión,ajuste e implementación de los procedimientos UX-P-01-01-PROCEDIMIENTO VALORACION, CLASIFICACION DE URGENCIAS y UX-P-02-01-PROCEDIMIENTO ATENCION INTEGRAL DE URGENCIAS,incluyendo los riesgos pertinentes - 01/08/2018</v>
      </c>
      <c r="E5" s="0" t="str">
        <f aca="false">IFERROR(__xludf.dummyfunction("""COMPUTED_VALUE"""),"Se determinó en primera instancia actualizar los documentos definidos para la documentando debidamente todos los riesgos del proceso con el concurso de médicos y lideres de los servicios de urgencias de la subred,  una vez ya normalizado en la intranet, s"&amp;"e socializó a través de correo y/o en reunión de grupo. Conscientes de la importancia de la estrategia de capacitación y considerando rotación del personal y los resultados de la auditoría de  realizada por los líderes de los servicios de urgencias, se co"&amp;"ntinuó durante el  año con  capacitaciones al personal de enfermería y a los médicos generales, incluido los líderes de la diferentes sedes que conforman la subred norte. ")</f>
        <v>Se determinó en primera instancia actualizar los documentos definidos para la documentando debidamente todos los riesgos del proceso con el concurso de médicos y lideres de los servicios de urgencias de la subred,  una vez ya normalizado en la intranet, se socializó a través de correo y/o en reunión de grupo. Conscientes de la importancia de la estrategia de capacitación y considerando rotación del personal y los resultados de la auditoría de  realizada por los líderes de los servicios de urgencias, se continuó durante el  año con  capacitaciones al personal de enfermería y a los médicos generales, incluido los líderes de la diferentes sedes que conforman la subred norte. </v>
      </c>
      <c r="F5" s="0" t="str">
        <f aca="false">IFERROR(__xludf.dummyfunction("""COMPUTED_VALUE"""),"Completo")</f>
        <v>Completo</v>
      </c>
      <c r="G5" s="0" t="str">
        <f aca="false">IFERROR(__xludf.dummyfunction("""COMPUTED_VALUE"""),"https://drive.google.com/open?id=1riGjnFSUX5cetBcl2JCfJxgcAzTrUUme, https://drive.google.com/open?id=1lBWRMe-w4BMpGI_QgMvZQpFpic3cl3BK")</f>
        <v>https://drive.google.com/open?id=1riGjnFSUX5cetBcl2JCfJxgcAzTrUUme, https://drive.google.com/open?id=1lBWRMe-w4BMpGI_QgMvZQpFpic3cl3BK</v>
      </c>
    </row>
    <row r="6" customFormat="false" ht="14.25" hidden="false" customHeight="false" outlineLevel="0" collapsed="false">
      <c r="A6" s="18" t="str">
        <f aca="false">IFERROR(MID(D6,1,FIND("|",D6)-1)&amp;"-"&amp;C6,"")</f>
        <v>AECI201802-1-1-1</v>
      </c>
      <c r="B6" s="19" t="n">
        <f aca="false">IFERROR(__xludf.dummyfunction("""COMPUTED_VALUE"""),43678)</f>
        <v>43678</v>
      </c>
      <c r="C6" s="0" t="n">
        <f aca="false">IFERROR(__xludf.dummyfunction("""COMPUTED_VALUE"""),1)</f>
        <v>1</v>
      </c>
      <c r="D6" s="0" t="str">
        <f aca="false">IFERROR(__xludf.dummyfunction("""COMPUTED_VALUE"""),"AECI201802-1-1| Gestion ante la alta gerencia y area de Sistemas para que el primer contacto con el usuario sea por un profesional de la Salud y se realice la interfase entre el digiturno-triage-admisiones, permitiendo agilizar la atención e identificar l"&amp;"a oportunidad para realizacion de triage, así como evitar el doble tramite por el usuario: ingreso corto-ingreso largo. - 30/11/2018")</f>
        <v>AECI201802-1-1| Gestion ante la alta gerencia y area de Sistemas para que el primer contacto con el usuario sea por un profesional de la Salud y se realice la interfase entre el digiturno-triage-admisiones, permitiendo agilizar la atención e identificar la oportunidad para realizacion de triage, así como evitar el doble tramite por el usuario: ingreso corto-ingreso largo. - 30/11/2018</v>
      </c>
      <c r="E6" s="0" t="str">
        <f aca="false">IFERROR(__xludf.dummyfunction("""COMPUTED_VALUE"""),"Se realizó gestión para la compra de digiturnos compatibles con el software de historia clínica con el que cuenta la Subred, sin embargo no fué aprobada por la alta gerencia.  Por lo tanto para subsanar y mejorar los tiempos de ingreso al Triage, se mejor"&amp;"ó el proceso de admisión con la la parametrización del sistema. disminuyendo las preguntas del ingreso corto.")</f>
        <v>Se realizó gestión para la compra de digiturnos compatibles con el software de historia clínica con el que cuenta la Subred, sin embargo no fué aprobada por la alta gerencia.  Por lo tanto para subsanar y mejorar los tiempos de ingreso al Triage, se mejoró el proceso de admisión con la la parametrización del sistema. disminuyendo las preguntas del ingreso corto.</v>
      </c>
      <c r="F6" s="0" t="str">
        <f aca="false">IFERROR(__xludf.dummyfunction("""COMPUTED_VALUE"""),"En desarrollo")</f>
        <v>En desarrollo</v>
      </c>
    </row>
    <row r="7" customFormat="false" ht="14.25" hidden="false" customHeight="false" outlineLevel="0" collapsed="false">
      <c r="A7" s="18" t="str">
        <f aca="false">IFERROR(MID(D7,1,FIND("|",D7)-1)&amp;"-"&amp;C7,"")</f>
        <v>AECI201802-3-1-1</v>
      </c>
      <c r="B7" s="19" t="n">
        <f aca="false">IFERROR(__xludf.dummyfunction("""COMPUTED_VALUE"""),43678)</f>
        <v>43678</v>
      </c>
      <c r="C7" s="0" t="n">
        <f aca="false">IFERROR(__xludf.dummyfunction("""COMPUTED_VALUE"""),1)</f>
        <v>1</v>
      </c>
      <c r="D7" s="0" t="str">
        <f aca="false">IFERROR(__xludf.dummyfunction("""COMPUTED_VALUE"""),"AECI201802-3-1| Implementar y socializar al personal a cargo de la Direccion de Urgencias el Modelo de atencion. - 01/08/2018")</f>
        <v>AECI201802-3-1| Implementar y socializar al personal a cargo de la Direccion de Urgencias el Modelo de atencion. - 01/08/2018</v>
      </c>
      <c r="E7" s="0" t="str">
        <f aca="false">IFERROR(__xludf.dummyfunction("""COMPUTED_VALUE"""),"Se adelantó capacitación al personal a cargo de la dirección de urgencias en lo referente al modelo institucional de atención, se anexan actas de asistencia del personal")</f>
        <v>Se adelantó capacitación al personal a cargo de la dirección de urgencias en lo referente al modelo institucional de atención, se anexan actas de asistencia del personal</v>
      </c>
      <c r="F7" s="0" t="str">
        <f aca="false">IFERROR(__xludf.dummyfunction("""COMPUTED_VALUE"""),"Completo")</f>
        <v>Completo</v>
      </c>
      <c r="G7" s="20" t="str">
        <f aca="false">IFERROR(__xludf.dummyfunction("""COMPUTED_VALUE"""),"https://drive.google.com/open?id=1ki6aYfIf-Jrkv3GU_Y_-VxJxvzjkspFX")</f>
        <v>https://drive.google.com/open?id=1ki6aYfIf-Jrkv3GU_Y_-VxJxvzjkspFX</v>
      </c>
    </row>
    <row r="8" customFormat="false" ht="14.25" hidden="false" customHeight="false" outlineLevel="0" collapsed="false">
      <c r="A8" s="18" t="str">
        <f aca="false">IFERROR(MID(D8,1,FIND("|",D8)-1)&amp;"-"&amp;C8,"")</f>
        <v>AECI201802-5-1-1</v>
      </c>
      <c r="B8" s="19" t="n">
        <f aca="false">IFERROR(__xludf.dummyfunction("""COMPUTED_VALUE"""),43678)</f>
        <v>43678</v>
      </c>
      <c r="C8" s="0" t="n">
        <f aca="false">IFERROR(__xludf.dummyfunction("""COMPUTED_VALUE"""),1)</f>
        <v>1</v>
      </c>
      <c r="D8" s="0" t="str">
        <f aca="false">IFERROR(__xludf.dummyfunction("""COMPUTED_VALUE"""),"AECI201802-5-1| Gestion ante la alta gerencia y area de Sistemas para que el primer contacto con el usuario sea por un profesional de la Salud y se realice la interfase entre el digiturno-triage-admisiones, permitiendo agilizar la atención para realizacio"&amp;"n de triage - 30/11/2018")</f>
        <v>AECI201802-5-1| Gestion ante la alta gerencia y area de Sistemas para que el primer contacto con el usuario sea por un profesional de la Salud y se realice la interfase entre el digiturno-triage-admisiones, permitiendo agilizar la atención para realizacion de triage - 30/11/2018</v>
      </c>
      <c r="E8" s="0" t="str">
        <f aca="false">IFERROR(__xludf.dummyfunction("""COMPUTED_VALUE"""),"Se adelantaron por parte del área TICs institucional y la dirección de Urgencias, la presentación de la propuesta para buscar que el primer contacto al ingreso a la institución se realice de forma directa por un profesional de salud a través del digiturno"&amp;", se presentaron las cotizaciones para costear la operatividad del digiturno con el software de HIS con el que cuenta la institución estas cotizaciones y costeos se presentaron a la alta gerencia de la para su evaluación y estudio, según informa el jefe d"&amp;"el área de  TICs la consideración no fue positiva dado los constes implicados en el proyecto por lo que se consideró no viable para este vigencia, las actas reposan en la oficina de TICs")</f>
        <v>Se adelantaron por parte del área TICs institucional y la dirección de Urgencias, la presentación de la propuesta para buscar que el primer contacto al ingreso a la institución se realice de forma directa por un profesional de salud a través del digiturno, se presentaron las cotizaciones para costear la operatividad del digiturno con el software de HIS con el que cuenta la institución estas cotizaciones y costeos se presentaron a la alta gerencia de la para su evaluación y estudio, según informa el jefe del área de  TICs la consideración no fue positiva dado los constes implicados en el proyecto por lo que se consideró no viable para este vigencia, las actas reposan en la oficina de TICs</v>
      </c>
      <c r="F8" s="0" t="str">
        <f aca="false">IFERROR(__xludf.dummyfunction("""COMPUTED_VALUE"""),"Completo")</f>
        <v>Completo</v>
      </c>
      <c r="G8" s="20" t="str">
        <f aca="false">IFERROR(__xludf.dummyfunction("""COMPUTED_VALUE"""),"https://drive.google.com/open?id=19o-xG-RXyOHXSaKCOMYUkgeKmJmDQM34")</f>
        <v>https://drive.google.com/open?id=19o-xG-RXyOHXSaKCOMYUkgeKmJmDQM34</v>
      </c>
    </row>
    <row r="9" customFormat="false" ht="14.25" hidden="false" customHeight="false" outlineLevel="0" collapsed="false">
      <c r="A9" s="18" t="str">
        <f aca="false">IFERROR(MID(D9,1,FIND("|",D9)-1)&amp;"-"&amp;C9,"")</f>
        <v>AECI201802-6-1-1</v>
      </c>
      <c r="B9" s="19" t="n">
        <f aca="false">IFERROR(__xludf.dummyfunction("""COMPUTED_VALUE"""),43678)</f>
        <v>43678</v>
      </c>
      <c r="C9" s="0" t="n">
        <f aca="false">IFERROR(__xludf.dummyfunction("""COMPUTED_VALUE"""),1)</f>
        <v>1</v>
      </c>
      <c r="D9" s="0" t="str">
        <f aca="false">IFERROR(__xludf.dummyfunction("""COMPUTED_VALUE"""),"AECI201802-6-1| Gestionar ante sistemas de informacion - TICs la disponibilidad y operación adecuada de digiturnos en las sedes de mayor demanda para el servicio de urgencias. -Se solicitara de manera formal (via mail a la Lider del Area de Atencion Al Us"&amp;"uario mantener la fila prioritaria para gestantes, adultos mayores, personas en condicion de discapacidad y con niños en brazos. - 30/08/2018")</f>
        <v>AECI201802-6-1| Gestionar ante sistemas de informacion - TICs la disponibilidad y operación adecuada de digiturnos en las sedes de mayor demanda para el servicio de urgencias. -Se solicitara de manera formal (via mail a la Lider del Area de Atencion Al Usuario mantener la fila prioritaria para gestantes, adultos mayores, personas en condicion de discapacidad y con niños en brazos. - 30/08/2018</v>
      </c>
      <c r="E9" s="0" t="str">
        <f aca="false">IFERROR(__xludf.dummyfunction("""COMPUTED_VALUE"""),"Frente al trabajo con la Líder de Atención al usuario se mantiene linea de trabajo para la priorización de gestantes y población pediátrica para los que se cuenta con personal especifico para su atencion y no pasan a valoración en triage sino que ingresan"&amp;" directo a los servicios definidos para población en cuanto a población adulta mayor, Personas en condición de Discapacidad son priorizadas para su atención en salas de espera")</f>
        <v>Frente al trabajo con la Líder de Atención al usuario se mantiene linea de trabajo para la priorización de gestantes y población pediátrica para los que se cuenta con personal especifico para su atencion y no pasan a valoración en triage sino que ingresan directo a los servicios definidos para población en cuanto a población adulta mayor, Personas en condición de Discapacidad son priorizadas para su atención en salas de espera</v>
      </c>
      <c r="F9" s="0" t="str">
        <f aca="false">IFERROR(__xludf.dummyfunction("""COMPUTED_VALUE"""),"En desarrollo")</f>
        <v>En desarrollo</v>
      </c>
    </row>
    <row r="10" customFormat="false" ht="14.25" hidden="false" customHeight="false" outlineLevel="0" collapsed="false">
      <c r="A10" s="18" t="str">
        <f aca="false">IFERROR(MID(D10,1,FIND("|",D10)-1)&amp;"-"&amp;C10,"")</f>
        <v>AECI201802-7-1-1</v>
      </c>
      <c r="B10" s="19" t="n">
        <f aca="false">IFERROR(__xludf.dummyfunction("""COMPUTED_VALUE"""),43678)</f>
        <v>43678</v>
      </c>
      <c r="C10" s="0" t="n">
        <f aca="false">IFERROR(__xludf.dummyfunction("""COMPUTED_VALUE"""),1)</f>
        <v>1</v>
      </c>
      <c r="D10" s="0" t="str">
        <f aca="false">IFERROR(__xludf.dummyfunction("""COMPUTED_VALUE"""),"AECI201802-7-1| Gestionar ante la alta gerencia, TIC y área de Mercadeo (responsable en la Institucion del proceso de admisiones) para el cumplimiento de los requisitos establecidos en la norma. - 30/11/2018")</f>
        <v>AECI201802-7-1| Gestionar ante la alta gerencia, TIC y área de Mercadeo (responsable en la Institucion del proceso de admisiones) para el cumplimiento de los requisitos establecidos en la norma. - 30/11/2018</v>
      </c>
      <c r="E10" s="0" t="str">
        <f aca="false">IFERROR(__xludf.dummyfunction("""COMPUTED_VALUE"""),"Se realiza capacitación en derechos y deberes a través de pieza comunicativa institucional.  La cual se encuentra publicada en los consultorios de triage y consulta en los servicios de urgencias")</f>
        <v>Se realiza capacitación en derechos y deberes a través de pieza comunicativa institucional.  La cual se encuentra publicada en los consultorios de triage y consulta en los servicios de urgencias</v>
      </c>
      <c r="F10" s="0" t="str">
        <f aca="false">IFERROR(__xludf.dummyfunction("""COMPUTED_VALUE"""),"Completo")</f>
        <v>Completo</v>
      </c>
    </row>
    <row r="11" customFormat="false" ht="14.25" hidden="false" customHeight="false" outlineLevel="0" collapsed="false">
      <c r="A11" s="18" t="str">
        <f aca="false">IFERROR(MID(D11,1,FIND("|",D11)-1)&amp;"-"&amp;C11,"")</f>
        <v>AECI201802-8-1-1</v>
      </c>
      <c r="B11" s="19" t="n">
        <f aca="false">IFERROR(__xludf.dummyfunction("""COMPUTED_VALUE"""),43678)</f>
        <v>43678</v>
      </c>
      <c r="C11" s="0" t="n">
        <f aca="false">IFERROR(__xludf.dummyfunction("""COMPUTED_VALUE"""),1)</f>
        <v>1</v>
      </c>
      <c r="D11" s="0" t="str">
        <f aca="false">IFERROR(__xludf.dummyfunction("""COMPUTED_VALUE"""),"AECI201802-8-1| Solicitar de manera formal al Area de Sistemas de Informacion TICS la implementacion de la politica para el manejo de la Informacion en saud,de conformidad con lo establecido en el articulo 19 ley 1751 de 2015. - 30/11/2018")</f>
        <v>AECI201802-8-1| Solicitar de manera formal al Area de Sistemas de Informacion TICS la implementacion de la politica para el manejo de la Informacion en saud,de conformidad con lo establecido en el articulo 19 ley 1751 de 2015. - 30/11/2018</v>
      </c>
      <c r="E11" s="0" t="str">
        <f aca="false">IFERROR(__xludf.dummyfunction("""COMPUTED_VALUE"""),"Se designo profesional de enfermería para el área de procedimientos con la responsabilidad directa en el registro de medicamentos y cargue de procedimientos. Se adiciona personal de enfermería para sillas y procedimientos, mejora de parametrización en el "&amp;"sistema con el fin de controlar el diligenciamiento de los registros correspondientes que bloquean la generación de facturas para el egreso. ")</f>
        <v>Se designo profesional de enfermería para el área de procedimientos con la responsabilidad directa en el registro de medicamentos y cargue de procedimientos. Se adiciona personal de enfermería para sillas y procedimientos, mejora de parametrización en el sistema con el fin de controlar el diligenciamiento de los registros correspondientes que bloquean la generación de facturas para el egreso. </v>
      </c>
      <c r="F11" s="0" t="str">
        <f aca="false">IFERROR(__xludf.dummyfunction("""COMPUTED_VALUE"""),"En desarrollo")</f>
        <v>En desarrollo</v>
      </c>
    </row>
    <row r="12" customFormat="false" ht="14.25" hidden="false" customHeight="false" outlineLevel="0" collapsed="false">
      <c r="A12" s="18" t="str">
        <f aca="false">IFERROR(MID(D12,1,FIND("|",D12)-1)&amp;"-"&amp;C12,"")</f>
        <v>AECI201802-9-1-1</v>
      </c>
      <c r="B12" s="19" t="n">
        <f aca="false">IFERROR(__xludf.dummyfunction("""COMPUTED_VALUE"""),43678)</f>
        <v>43678</v>
      </c>
      <c r="C12" s="0" t="n">
        <f aca="false">IFERROR(__xludf.dummyfunction("""COMPUTED_VALUE"""),1)</f>
        <v>1</v>
      </c>
      <c r="D12" s="0" t="str">
        <f aca="false">IFERROR(__xludf.dummyfunction("""COMPUTED_VALUE"""),"AECI201802-9-1| Gestionar ante la alta gerencia y TICS la implementacion de digiturno con la interfases necesarias que permitan agilizar el proceso y dar cumplimiento a la normatividad y/o que se provea a traves del sistema de informacion de una alternati"&amp;"va que permita dar cumplimiento a lo planteado. - 30/11/2018")</f>
        <v>AECI201802-9-1| Gestionar ante la alta gerencia y TICS la implementacion de digiturno con la interfases necesarias que permitan agilizar el proceso y dar cumplimiento a la normatividad y/o que se provea a traves del sistema de informacion de una alternativa que permita dar cumplimiento a lo planteado. - 30/11/2018</v>
      </c>
      <c r="E12" s="0" t="str">
        <f aca="false">IFERROR(__xludf.dummyfunction("""COMPUTED_VALUE"""),"La subred norte viene participando en la estrategia de Bogotá Salud Digital, para la integración de la historia clinica unica distrital")</f>
        <v>La subred norte viene participando en la estrategia de Bogotá Salud Digital, para la integración de la historia clinica unica distrital</v>
      </c>
      <c r="F12" s="0" t="str">
        <f aca="false">IFERROR(__xludf.dummyfunction("""COMPUTED_VALUE"""),"En desarrollo")</f>
        <v>En desarrollo</v>
      </c>
    </row>
    <row r="13" customFormat="false" ht="14.25" hidden="false" customHeight="false" outlineLevel="0" collapsed="false">
      <c r="A13" s="18" t="str">
        <f aca="false">IFERROR(MID(D13,1,FIND("|",D13)-1)&amp;"-"&amp;C13,"")</f>
        <v>AECI201802-1-1-2</v>
      </c>
      <c r="B13" s="19" t="n">
        <f aca="false">IFERROR(__xludf.dummyfunction("""COMPUTED_VALUE"""),43739)</f>
        <v>43739</v>
      </c>
      <c r="C13" s="0" t="n">
        <f aca="false">IFERROR(__xludf.dummyfunction("""COMPUTED_VALUE"""),2)</f>
        <v>2</v>
      </c>
      <c r="D13" s="0" t="str">
        <f aca="false">IFERROR(__xludf.dummyfunction("""COMPUTED_VALUE"""),"AECI201802-1-1| Gestion ante la alta gerencia y area de Sistemas para que el primer contacto con el usuario sea por un profesional de la Salud y se realice la interfase entre el digiturno-triage-admisiones, permitiendo agilizar la atención e identificar l"&amp;"a oportunidad para realizacion de triage, así como evitar el doble tramite por el usuario: ingreso corto-ingreso largo. - 30/11/2018")</f>
        <v>AECI201802-1-1| Gestion ante la alta gerencia y area de Sistemas para que el primer contacto con el usuario sea por un profesional de la Salud y se realice la interfase entre el digiturno-triage-admisiones, permitiendo agilizar la atención e identificar la oportunidad para realizacion de triage, así como evitar el doble tramite por el usuario: ingreso corto-ingreso largo. - 30/11/2018</v>
      </c>
      <c r="E13" s="0" t="str">
        <f aca="false">IFERROR(__xludf.dummyfunction("""COMPUTED_VALUE"""),"se anexa soporte de parametrización ingreso corto")</f>
        <v>se anexa soporte de parametrización ingreso corto</v>
      </c>
      <c r="F13" s="0" t="str">
        <f aca="false">IFERROR(__xludf.dummyfunction("""COMPUTED_VALUE"""),"Completo")</f>
        <v>Completo</v>
      </c>
      <c r="G13" s="20" t="str">
        <f aca="false">IFERROR(__xludf.dummyfunction("""COMPUTED_VALUE"""),"https://drive.google.com/open?id=1B7XyThBFFsu1LwPQ00Vepapb5H7EBM1z")</f>
        <v>https://drive.google.com/open?id=1B7XyThBFFsu1LwPQ00Vepapb5H7EBM1z</v>
      </c>
    </row>
    <row r="14" customFormat="false" ht="14.25" hidden="false" customHeight="false" outlineLevel="0" collapsed="false">
      <c r="A14" s="18" t="str">
        <f aca="false">IFERROR(MID(D14,1,FIND("|",D14)-1)&amp;"-"&amp;C14,"")</f>
        <v>AECI201802-2-1-2</v>
      </c>
      <c r="B14" s="19" t="n">
        <f aca="false">IFERROR(__xludf.dummyfunction("""COMPUTED_VALUE"""),43739)</f>
        <v>43739</v>
      </c>
      <c r="C14" s="0" t="n">
        <f aca="false">IFERROR(__xludf.dummyfunction("""COMPUTED_VALUE"""),2)</f>
        <v>2</v>
      </c>
      <c r="D14" s="0" t="str">
        <f aca="false">IFERROR(__xludf.dummyfunction("""COMPUTED_VALUE"""),"AECI201802-2-1| Socializacion y sensibilizacion al personal sobre la importancia de informar de forma asertiva sobre la clasificacion hecha y la expectativa de la oportunidad de la atencion de acuerdo con la misma - 30/11/2018")</f>
        <v>AECI201802-2-1| Socializacion y sensibilizacion al personal sobre la importancia de informar de forma asertiva sobre la clasificacion hecha y la expectativa de la oportunidad de la atencion de acuerdo con la misma - 30/11/2018</v>
      </c>
      <c r="E14" s="0" t="str">
        <f aca="false">IFERROR(__xludf.dummyfunction("""COMPUTED_VALUE"""),"Se observa en el área de triage de Engativá ,que no se está informando la clasificación de triage,enviar acta de socialización el día 4 de octubre")</f>
        <v>Se observa en el área de triage de Engativá ,que no se está informando la clasificación de triage,enviar acta de socialización el día 4 de octubre</v>
      </c>
      <c r="F14" s="0" t="str">
        <f aca="false">IFERROR(__xludf.dummyfunction("""COMPUTED_VALUE"""),"En desarrollo")</f>
        <v>En desarrollo</v>
      </c>
    </row>
    <row r="15" customFormat="false" ht="14.25" hidden="false" customHeight="false" outlineLevel="0" collapsed="false">
      <c r="A15" s="18" t="str">
        <f aca="false">IFERROR(MID(D15,1,FIND("|",D15)-1)&amp;"-"&amp;C15,"")</f>
        <v>AECI201802-3-1-2</v>
      </c>
      <c r="B15" s="19" t="n">
        <f aca="false">IFERROR(__xludf.dummyfunction("""COMPUTED_VALUE"""),43739)</f>
        <v>43739</v>
      </c>
      <c r="C15" s="0" t="n">
        <f aca="false">IFERROR(__xludf.dummyfunction("""COMPUTED_VALUE"""),2)</f>
        <v>2</v>
      </c>
      <c r="D15" s="0" t="str">
        <f aca="false">IFERROR(__xludf.dummyfunction("""COMPUTED_VALUE"""),"AECI201802-3-1| Implementar y socializar al personal a cargo de la Direccion de Urgencias el Modelo de atencion. - 01/08/2018")</f>
        <v>AECI201802-3-1| Implementar y socializar al personal a cargo de la Direccion de Urgencias el Modelo de atencion. - 01/08/2018</v>
      </c>
      <c r="E15" s="0" t="str">
        <f aca="false">IFERROR(__xludf.dummyfunction("""COMPUTED_VALUE"""),"se verifican documentos enviados de socialización")</f>
        <v>se verifican documentos enviados de socialización</v>
      </c>
      <c r="F15" s="0" t="str">
        <f aca="false">IFERROR(__xludf.dummyfunction("""COMPUTED_VALUE"""),"Completo")</f>
        <v>Completo</v>
      </c>
    </row>
    <row r="16" customFormat="false" ht="14.25" hidden="false" customHeight="false" outlineLevel="0" collapsed="false">
      <c r="A16" s="18" t="str">
        <f aca="false">IFERROR(MID(D16,1,FIND("|",D16)-1)&amp;"-"&amp;C16,"")</f>
        <v>AECI201802-4-1-2</v>
      </c>
      <c r="B16" s="19" t="n">
        <f aca="false">IFERROR(__xludf.dummyfunction("""COMPUTED_VALUE"""),43760)</f>
        <v>43760</v>
      </c>
      <c r="C16" s="0" t="n">
        <f aca="false">IFERROR(__xludf.dummyfunction("""COMPUTED_VALUE"""),2)</f>
        <v>2</v>
      </c>
      <c r="D16" s="0" t="str">
        <f aca="false">IFERROR(__xludf.dummyfunction("""COMPUTED_VALUE"""),"AECI201802-4-1| Realizar revisión,ajuste e implementación de los procedimientos UX-P-01-01-PROCEDIMIENTO VALORACION, CLASIFICACION DE URGENCIAS y UX-P-02-01-PROCEDIMIENTO ATENCION INTEGRAL DE URGENCIAS,incluyendo los riesgos pertinentes - 01/08/2018")</f>
        <v>AECI201802-4-1| Realizar revisión,ajuste e implementación de los procedimientos UX-P-01-01-PROCEDIMIENTO VALORACION, CLASIFICACION DE URGENCIAS y UX-P-02-01-PROCEDIMIENTO ATENCION INTEGRAL DE URGENCIAS,incluyendo los riesgos pertinentes - 01/08/2018</v>
      </c>
      <c r="E16" s="0" t="str">
        <f aca="false">IFERROR(__xludf.dummyfunction("""COMPUTED_VALUE"""),"No se ha modificado el procedimiento de valoración y clasificación,el Dr Neuta dice que se retira este procedimiento y solo quedaría el procedimiento de atención integral de urgencias. 
Se anexa modificación del procedimiento UX-P- 01-01 VALORACIÓN Y CLAS"&amp;"IFICACIÓN DE URGENCIAS")</f>
        <v>No se ha modificado el procedimiento de valoración y clasificación,el Dr Neuta dice que se retira este procedimiento y solo quedaría el procedimiento de atención integral de urgencias. 
Se anexa modificación del procedimiento UX-P- 01-01 VALORACIÓN Y CLASIFICACIÓN DE URGENCIAS</v>
      </c>
      <c r="F16" s="0" t="str">
        <f aca="false">IFERROR(__xludf.dummyfunction("""COMPUTED_VALUE"""),"Completo")</f>
        <v>Completo</v>
      </c>
      <c r="G16" s="20" t="str">
        <f aca="false">IFERROR(__xludf.dummyfunction("""COMPUTED_VALUE"""),"https://drive.google.com/open?id=1xK03GvgNP2gxo8rQJPIwdlkZFYfidcPP")</f>
        <v>https://drive.google.com/open?id=1xK03GvgNP2gxo8rQJPIwdlkZFYfidcPP</v>
      </c>
    </row>
    <row r="17" customFormat="false" ht="14.25" hidden="false" customHeight="false" outlineLevel="0" collapsed="false">
      <c r="A17" s="18" t="str">
        <f aca="false">IFERROR(MID(D17,1,FIND("|",D17)-1)&amp;"-"&amp;C17,"")</f>
        <v>AECI201802-5-1-2</v>
      </c>
      <c r="B17" s="19" t="n">
        <f aca="false">IFERROR(__xludf.dummyfunction("""COMPUTED_VALUE"""),43739)</f>
        <v>43739</v>
      </c>
      <c r="C17" s="0" t="n">
        <f aca="false">IFERROR(__xludf.dummyfunction("""COMPUTED_VALUE"""),2)</f>
        <v>2</v>
      </c>
      <c r="D17" s="0" t="str">
        <f aca="false">IFERROR(__xludf.dummyfunction("""COMPUTED_VALUE"""),"AECI201802-5-1| Gestion ante la alta gerencia y area de Sistemas para que el primer contacto con el usuario sea por un profesional de la Salud y se realice la interfase entre el digiturno-triage-admisiones, permitiendo agilizar la atención para realizacio"&amp;"n de triage - 30/11/2018")</f>
        <v>AECI201802-5-1| Gestion ante la alta gerencia y area de Sistemas para que el primer contacto con el usuario sea por un profesional de la Salud y se realice la interfase entre el digiturno-triage-admisiones, permitiendo agilizar la atención para realizacion de triage - 30/11/2018</v>
      </c>
      <c r="E17" s="0" t="str">
        <f aca="false">IFERROR(__xludf.dummyfunction("""COMPUTED_VALUE"""),"Se observa cuadro de triage de 2019,donde se disminuye la oportunidad para el la atención en triage III")</f>
        <v>Se observa cuadro de triage de 2019,donde se disminuye la oportunidad para el la atención en triage III</v>
      </c>
      <c r="F17" s="0" t="str">
        <f aca="false">IFERROR(__xludf.dummyfunction("""COMPUTED_VALUE"""),"Completo")</f>
        <v>Completo</v>
      </c>
      <c r="G17" s="20" t="str">
        <f aca="false">IFERROR(__xludf.dummyfunction("""COMPUTED_VALUE"""),"https://drive.google.com/open?id=124IOGsUFH-Mf3qZ6d1lzwFO5208xxAjB")</f>
        <v>https://drive.google.com/open?id=124IOGsUFH-Mf3qZ6d1lzwFO5208xxAjB</v>
      </c>
    </row>
    <row r="18" customFormat="false" ht="14.25" hidden="false" customHeight="false" outlineLevel="0" collapsed="false">
      <c r="A18" s="18" t="str">
        <f aca="false">IFERROR(MID(D18,1,FIND("|",D18)-1)&amp;"-"&amp;C18,"")</f>
        <v>AECI201802-6-1-2</v>
      </c>
      <c r="B18" s="19" t="n">
        <f aca="false">IFERROR(__xludf.dummyfunction("""COMPUTED_VALUE"""),43739)</f>
        <v>43739</v>
      </c>
      <c r="C18" s="0" t="n">
        <f aca="false">IFERROR(__xludf.dummyfunction("""COMPUTED_VALUE"""),2)</f>
        <v>2</v>
      </c>
      <c r="D18" s="0" t="str">
        <f aca="false">IFERROR(__xludf.dummyfunction("""COMPUTED_VALUE"""),"AECI201802-6-1| Gestionar ante sistemas de informacion - TICs la disponibilidad y operación adecuada de digiturnos en las sedes de mayor demanda para el servicio de urgencias. -Se solicitara de manera formal (via mail a la Lider del Area de Atencion Al Us"&amp;"uario mantener la fila prioritaria para gestantes, adultos mayores, personas en condicion de discapacidad y con niños en brazos. - 30/08/2018")</f>
        <v>AECI201802-6-1| Gestionar ante sistemas de informacion - TICs la disponibilidad y operación adecuada de digiturnos en las sedes de mayor demanda para el servicio de urgencias. -Se solicitara de manera formal (via mail a la Lider del Area de Atencion Al Usuario mantener la fila prioritaria para gestantes, adultos mayores, personas en condicion de discapacidad y con niños en brazos. - 30/08/2018</v>
      </c>
      <c r="E18" s="0" t="str">
        <f aca="false">IFERROR(__xludf.dummyfunction("""COMPUTED_VALUE"""),"Se anexa acta de capacitación y socialización realizada en conjunto con Atención al usuario")</f>
        <v>Se anexa acta de capacitación y socialización realizada en conjunto con Atención al usuario</v>
      </c>
      <c r="F18" s="0" t="str">
        <f aca="false">IFERROR(__xludf.dummyfunction("""COMPUTED_VALUE"""),"Completo")</f>
        <v>Completo</v>
      </c>
      <c r="G18" s="0" t="str">
        <f aca="false">IFERROR(__xludf.dummyfunction("""COMPUTED_VALUE"""),"https://drive.google.com/open?id=1Mz7nmJj3Jr_jJ7I4RmIddcru-g6PiW4P, https://drive.google.com/open?id=1xeKppGEXrtskUDUbStDks224lVnjyWxh")</f>
        <v>https://drive.google.com/open?id=1Mz7nmJj3Jr_jJ7I4RmIddcru-g6PiW4P, https://drive.google.com/open?id=1xeKppGEXrtskUDUbStDks224lVnjyWxh</v>
      </c>
    </row>
    <row r="19" customFormat="false" ht="14.25" hidden="false" customHeight="false" outlineLevel="0" collapsed="false">
      <c r="A19" s="18" t="str">
        <f aca="false">IFERROR(MID(D19,1,FIND("|",D19)-1)&amp;"-"&amp;C19,"")</f>
        <v>AECI201802-7-1-2</v>
      </c>
      <c r="B19" s="19" t="n">
        <f aca="false">IFERROR(__xludf.dummyfunction("""COMPUTED_VALUE"""),43739)</f>
        <v>43739</v>
      </c>
      <c r="C19" s="0" t="n">
        <f aca="false">IFERROR(__xludf.dummyfunction("""COMPUTED_VALUE"""),2)</f>
        <v>2</v>
      </c>
      <c r="D19" s="0" t="str">
        <f aca="false">IFERROR(__xludf.dummyfunction("""COMPUTED_VALUE"""),"AECI201802-7-1| Gestionar ante la alta gerencia, TIC y área de Mercadeo (responsable en la Institucion del proceso de admisiones) para el cumplimiento de los requisitos establecidos en la norma. - 30/11/2018")</f>
        <v>AECI201802-7-1| Gestionar ante la alta gerencia, TIC y área de Mercadeo (responsable en la Institucion del proceso de admisiones) para el cumplimiento de los requisitos establecidos en la norma. - 30/11/2018</v>
      </c>
      <c r="E19" s="0" t="str">
        <f aca="false">IFERROR(__xludf.dummyfunction("""COMPUTED_VALUE"""),"Se observa capacitación y socialización de deberes y derechos con los diferentes servicios de urgencias")</f>
        <v>Se observa capacitación y socialización de deberes y derechos con los diferentes servicios de urgencias</v>
      </c>
      <c r="F19" s="0" t="str">
        <f aca="false">IFERROR(__xludf.dummyfunction("""COMPUTED_VALUE"""),"Completo")</f>
        <v>Completo</v>
      </c>
      <c r="G19" s="0" t="str">
        <f aca="false">IFERROR(__xludf.dummyfunction("""COMPUTED_VALUE"""),"https://drive.google.com/open?id=1xr4ZXGEE5hd_zU7Je-rplId6Org0W_Eu, https://drive.google.com/open?id=1rqifh0_f7ZvqKYRywEW5yHySaILMngen, https://drive.google.com/open?id=1_OZz4y5CZmvjJtKD38f8K2Z-lDbNmbtr, https://drive.google.com/open?id=16h4DShX5gSBFNfyQV"&amp;"LLu65XuKv-9vLRD, https://drive.google.com/open?id=1VABid2VSi4ZSU3vEHnVI4aVrXlb1tdkA")</f>
        <v>https://drive.google.com/open?id=1xr4ZXGEE5hd_zU7Je-rplId6Org0W_Eu, https://drive.google.com/open?id=1rqifh0_f7ZvqKYRywEW5yHySaILMngen, https://drive.google.com/open?id=1_OZz4y5CZmvjJtKD38f8K2Z-lDbNmbtr, https://drive.google.com/open?id=16h4DShX5gSBFNfyQVLLu65XuKv-9vLRD, https://drive.google.com/open?id=1VABid2VSi4ZSU3vEHnVI4aVrXlb1tdkA</v>
      </c>
    </row>
    <row r="20" customFormat="false" ht="14.25" hidden="false" customHeight="false" outlineLevel="0" collapsed="false">
      <c r="A20" s="18" t="str">
        <f aca="false">IFERROR(MID(D20,1,FIND("|",D20)-1)&amp;"-"&amp;C20,"")</f>
        <v>AECI201802-8-1-2</v>
      </c>
      <c r="B20" s="19" t="n">
        <f aca="false">IFERROR(__xludf.dummyfunction("""COMPUTED_VALUE"""),43739)</f>
        <v>43739</v>
      </c>
      <c r="C20" s="0" t="n">
        <f aca="false">IFERROR(__xludf.dummyfunction("""COMPUTED_VALUE"""),2)</f>
        <v>2</v>
      </c>
      <c r="D20" s="0" t="str">
        <f aca="false">IFERROR(__xludf.dummyfunction("""COMPUTED_VALUE"""),"AECI201802-8-1| Solicitar de manera formal al Area de Sistemas de Informacion TICS la implementacion de la politica para el manejo de la Informacion en saud,de conformidad con lo establecido en el articulo 19 ley 1751 de 2015. - 30/11/2018")</f>
        <v>AECI201802-8-1| Solicitar de manera formal al Area de Sistemas de Informacion TICS la implementacion de la politica para el manejo de la Informacion en saud,de conformidad con lo establecido en el articulo 19 ley 1751 de 2015. - 30/11/2018</v>
      </c>
      <c r="E20" s="0" t="str">
        <f aca="false">IFERROR(__xludf.dummyfunction("""COMPUTED_VALUE"""),"Se anexan actas de reunión con sistemas de información")</f>
        <v>Se anexan actas de reunión con sistemas de información</v>
      </c>
      <c r="F20" s="0" t="str">
        <f aca="false">IFERROR(__xludf.dummyfunction("""COMPUTED_VALUE"""),"Completo")</f>
        <v>Completo</v>
      </c>
      <c r="G20" s="0" t="str">
        <f aca="false">IFERROR(__xludf.dummyfunction("""COMPUTED_VALUE"""),"https://drive.google.com/open?id=1xT0kL7qXhhzpYFT0USBhqMQ8_iBrbfK-, https://drive.google.com/open?id=1GH9loCjrmdAX1vcG1sXh5Gx7onh4X6z2, https://drive.google.com/open?id=1aODr8DJWr_g_9tXKHC25DK6JnhWny1bm")</f>
        <v>https://drive.google.com/open?id=1xT0kL7qXhhzpYFT0USBhqMQ8_iBrbfK-, https://drive.google.com/open?id=1GH9loCjrmdAX1vcG1sXh5Gx7onh4X6z2, https://drive.google.com/open?id=1aODr8DJWr_g_9tXKHC25DK6JnhWny1bm</v>
      </c>
    </row>
    <row r="21" customFormat="false" ht="14.25" hidden="false" customHeight="false" outlineLevel="0" collapsed="false">
      <c r="A21" s="18" t="str">
        <f aca="false">IFERROR(MID(D21,1,FIND("|",D21)-1)&amp;"-"&amp;C21,"")</f>
        <v>AECI201802-9-1-2</v>
      </c>
      <c r="B21" s="19" t="n">
        <f aca="false">IFERROR(__xludf.dummyfunction("""COMPUTED_VALUE"""),43739)</f>
        <v>43739</v>
      </c>
      <c r="C21" s="0" t="n">
        <f aca="false">IFERROR(__xludf.dummyfunction("""COMPUTED_VALUE"""),2)</f>
        <v>2</v>
      </c>
      <c r="D21" s="0" t="str">
        <f aca="false">IFERROR(__xludf.dummyfunction("""COMPUTED_VALUE"""),"AECI201802-9-1| Gestionar ante la alta gerencia y TICS la implementacion de digiturno con la interfases necesarias que permitan agilizar el proceso y dar cumplimiento a la normatividad y/o que se provea a traves del sistema de informacion de una alternati"&amp;"va que permita dar cumplimiento a lo planteado. - 30/11/2018")</f>
        <v>AECI201802-9-1| Gestionar ante la alta gerencia y TICS la implementacion de digiturno con la interfases necesarias que permitan agilizar el proceso y dar cumplimiento a la normatividad y/o que se provea a traves del sistema de informacion de una alternativa que permita dar cumplimiento a lo planteado. - 30/11/2018</v>
      </c>
      <c r="E21" s="0" t="str">
        <f aca="false">IFERROR(__xludf.dummyfunction("""COMPUTED_VALUE"""),"Se anexan actas de reunión con TICS")</f>
        <v>Se anexan actas de reunión con TICS</v>
      </c>
      <c r="F21" s="0" t="str">
        <f aca="false">IFERROR(__xludf.dummyfunction("""COMPUTED_VALUE"""),"Completo")</f>
        <v>Completo</v>
      </c>
      <c r="G21" s="0" t="str">
        <f aca="false">IFERROR(__xludf.dummyfunction("""COMPUTED_VALUE"""),"https://drive.google.com/open?id=1Mq4reDuJ2lik1iXx5myNTgfCbC6ez86Y, https://drive.google.com/open?id=1J1N22AJf7PnaZo_uQGxBzf6n9gijj8lD, https://drive.google.com/open?id=1GBYslDvZxG-8q_puEzSg8sIr4Zox4ESd")</f>
        <v>https://drive.google.com/open?id=1Mq4reDuJ2lik1iXx5myNTgfCbC6ez86Y, https://drive.google.com/open?id=1J1N22AJf7PnaZo_uQGxBzf6n9gijj8lD, https://drive.google.com/open?id=1GBYslDvZxG-8q_puEzSg8sIr4Zox4ESd</v>
      </c>
    </row>
    <row r="22" customFormat="false" ht="14.25" hidden="false" customHeight="false" outlineLevel="0" collapsed="false">
      <c r="A22" s="18" t="str">
        <f aca="false">IFERROR(MID(D22,1,FIND("|",D22)-1)&amp;"-"&amp;C22,"")</f>
        <v>AECI201802-1-1-3</v>
      </c>
      <c r="B22" s="19" t="n">
        <f aca="false">IFERROR(__xludf.dummyfunction("""COMPUTED_VALUE"""),43853)</f>
        <v>43853</v>
      </c>
      <c r="C22" s="0" t="n">
        <f aca="false">IFERROR(__xludf.dummyfunction("""COMPUTED_VALUE"""),3)</f>
        <v>3</v>
      </c>
      <c r="D22" s="0" t="str">
        <f aca="false">IFERROR(__xludf.dummyfunction("""COMPUTED_VALUE"""),"AECI201802-1-1| Gestion ante la alta gerencia y area de Sistemas para que el primer contacto con el usuario sea por un profesional de la Salud y se realice la interfase entre el digiturno-triage-admisiones, permitiendo agilizar la atención e identificar l"&amp;"a oportunidad para realizacion de triage, así como evitar el doble tramite por el usuario: ingreso corto-ingreso largo. - 30/11/2018")</f>
        <v>AECI201802-1-1| Gestion ante la alta gerencia y area de Sistemas para que el primer contacto con el usuario sea por un profesional de la Salud y se realice la interfase entre el digiturno-triage-admisiones, permitiendo agilizar la atención e identificar la oportunidad para realizacion de triage, así como evitar el doble tramite por el usuario: ingreso corto-ingreso largo. - 30/11/2018</v>
      </c>
      <c r="E22" s="0" t="str">
        <f aca="false">IFERROR(__xludf.dummyfunction("""COMPUTED_VALUE"""),"Accion terminada en el segundo seguimiento ")</f>
        <v>Accion terminada en el segundo seguimiento </v>
      </c>
      <c r="F22" s="0" t="str">
        <f aca="false">IFERROR(__xludf.dummyfunction("""COMPUTED_VALUE"""),"Completo")</f>
        <v>Completo</v>
      </c>
    </row>
    <row r="23" customFormat="false" ht="14.25" hidden="false" customHeight="false" outlineLevel="0" collapsed="false">
      <c r="A23" s="18" t="str">
        <f aca="false">IFERROR(MID(D23,1,FIND("|",D23)-1)&amp;"-"&amp;C23,"")</f>
        <v>AECI201802-3-1-3</v>
      </c>
      <c r="B23" s="19" t="n">
        <f aca="false">IFERROR(__xludf.dummyfunction("""COMPUTED_VALUE"""),43853)</f>
        <v>43853</v>
      </c>
      <c r="C23" s="0" t="n">
        <f aca="false">IFERROR(__xludf.dummyfunction("""COMPUTED_VALUE"""),3)</f>
        <v>3</v>
      </c>
      <c r="D23" s="0" t="str">
        <f aca="false">IFERROR(__xludf.dummyfunction("""COMPUTED_VALUE"""),"AECI201802-3-1| Implementar y socializar al personal a cargo de la Direccion de Urgencias el Modelo de atencion. - 01/08/2018")</f>
        <v>AECI201802-3-1| Implementar y socializar al personal a cargo de la Direccion de Urgencias el Modelo de atencion. - 01/08/2018</v>
      </c>
      <c r="E23" s="0" t="str">
        <f aca="false">IFERROR(__xludf.dummyfunction("""COMPUTED_VALUE"""),"Accion terminada en el segundo seguimiento ")</f>
        <v>Accion terminada en el segundo seguimiento </v>
      </c>
      <c r="F23" s="0" t="str">
        <f aca="false">IFERROR(__xludf.dummyfunction("""COMPUTED_VALUE"""),"Completo")</f>
        <v>Completo</v>
      </c>
    </row>
    <row r="24" customFormat="false" ht="14.25" hidden="false" customHeight="false" outlineLevel="0" collapsed="false">
      <c r="A24" s="18" t="str">
        <f aca="false">IFERROR(MID(D24,1,FIND("|",D24)-1)&amp;"-"&amp;C24,"")</f>
        <v>AECI201802-4-1-3</v>
      </c>
      <c r="B24" s="19" t="n">
        <f aca="false">IFERROR(__xludf.dummyfunction("""COMPUTED_VALUE"""),43853)</f>
        <v>43853</v>
      </c>
      <c r="C24" s="0" t="n">
        <f aca="false">IFERROR(__xludf.dummyfunction("""COMPUTED_VALUE"""),3)</f>
        <v>3</v>
      </c>
      <c r="D24" s="0" t="str">
        <f aca="false">IFERROR(__xludf.dummyfunction("""COMPUTED_VALUE"""),"AECI201802-4-1| Realizar revisión,ajuste e implementación de los procedimientos UX-P-01-01-PROCEDIMIENTO VALORACION, CLASIFICACION DE URGENCIAS y UX-P-02-01-PROCEDIMIENTO ATENCION INTEGRAL DE URGENCIAS,incluyendo los riesgos pertinentes - 01/08/2018")</f>
        <v>AECI201802-4-1| Realizar revisión,ajuste e implementación de los procedimientos UX-P-01-01-PROCEDIMIENTO VALORACION, CLASIFICACION DE URGENCIAS y UX-P-02-01-PROCEDIMIENTO ATENCION INTEGRAL DE URGENCIAS,incluyendo los riesgos pertinentes - 01/08/2018</v>
      </c>
      <c r="E24" s="0" t="str">
        <f aca="false">IFERROR(__xludf.dummyfunction("""COMPUTED_VALUE"""),"Accion terminada en el segundo seguimiento ")</f>
        <v>Accion terminada en el segundo seguimiento </v>
      </c>
      <c r="F24" s="0" t="str">
        <f aca="false">IFERROR(__xludf.dummyfunction("""COMPUTED_VALUE"""),"Completo")</f>
        <v>Completo</v>
      </c>
    </row>
    <row r="25" customFormat="false" ht="14.25" hidden="false" customHeight="false" outlineLevel="0" collapsed="false">
      <c r="A25" s="18" t="str">
        <f aca="false">IFERROR(MID(D25,1,FIND("|",D25)-1)&amp;"-"&amp;C25,"")</f>
        <v>AECI201802-5-1-3</v>
      </c>
      <c r="B25" s="19" t="n">
        <f aca="false">IFERROR(__xludf.dummyfunction("""COMPUTED_VALUE"""),43853)</f>
        <v>43853</v>
      </c>
      <c r="C25" s="0" t="n">
        <f aca="false">IFERROR(__xludf.dummyfunction("""COMPUTED_VALUE"""),3)</f>
        <v>3</v>
      </c>
      <c r="D25" s="0" t="str">
        <f aca="false">IFERROR(__xludf.dummyfunction("""COMPUTED_VALUE"""),"AECI201802-5-1| Gestion ante la alta gerencia y area de Sistemas para que el primer contacto con el usuario sea por un profesional de la Salud y se realice la interfase entre el digiturno-triage-admisiones, permitiendo agilizar la atención para realizacio"&amp;"n de triage - 30/11/2018")</f>
        <v>AECI201802-5-1| Gestion ante la alta gerencia y area de Sistemas para que el primer contacto con el usuario sea por un profesional de la Salud y se realice la interfase entre el digiturno-triage-admisiones, permitiendo agilizar la atención para realizacion de triage - 30/11/2018</v>
      </c>
      <c r="E25" s="0" t="str">
        <f aca="false">IFERROR(__xludf.dummyfunction("""COMPUTED_VALUE"""),"Accion terminada en el segundo seguimiento ")</f>
        <v>Accion terminada en el segundo seguimiento </v>
      </c>
      <c r="F25" s="0" t="str">
        <f aca="false">IFERROR(__xludf.dummyfunction("""COMPUTED_VALUE"""),"Completo")</f>
        <v>Completo</v>
      </c>
    </row>
    <row r="26" customFormat="false" ht="14.25" hidden="false" customHeight="false" outlineLevel="0" collapsed="false">
      <c r="A26" s="18" t="str">
        <f aca="false">IFERROR(MID(D26,1,FIND("|",D26)-1)&amp;"-"&amp;C26,"")</f>
        <v>AECI201802-6-1-3</v>
      </c>
      <c r="B26" s="19" t="n">
        <f aca="false">IFERROR(__xludf.dummyfunction("""COMPUTED_VALUE"""),43853)</f>
        <v>43853</v>
      </c>
      <c r="C26" s="0" t="n">
        <f aca="false">IFERROR(__xludf.dummyfunction("""COMPUTED_VALUE"""),3)</f>
        <v>3</v>
      </c>
      <c r="D26" s="0" t="str">
        <f aca="false">IFERROR(__xludf.dummyfunction("""COMPUTED_VALUE"""),"AECI201802-6-1| Gestionar ante sistemas de informacion - TICs la disponibilidad y operación adecuada de digiturnos en las sedes de mayor demanda para el servicio de urgencias. -Se solicitara de manera formal (via mail a la Lider del Area de Atencion Al Us"&amp;"uario mantener la fila prioritaria para gestantes, adultos mayores, personas en condicion de discapacidad y con niños en brazos. - 30/08/2018")</f>
        <v>AECI201802-6-1| Gestionar ante sistemas de informacion - TICs la disponibilidad y operación adecuada de digiturnos en las sedes de mayor demanda para el servicio de urgencias. -Se solicitara de manera formal (via mail a la Lider del Area de Atencion Al Usuario mantener la fila prioritaria para gestantes, adultos mayores, personas en condicion de discapacidad y con niños en brazos. - 30/08/2018</v>
      </c>
      <c r="E26" s="0" t="str">
        <f aca="false">IFERROR(__xludf.dummyfunction("""COMPUTED_VALUE"""),"Accion terminada en el segundo seguimiento ")</f>
        <v>Accion terminada en el segundo seguimiento </v>
      </c>
      <c r="F26" s="0" t="str">
        <f aca="false">IFERROR(__xludf.dummyfunction("""COMPUTED_VALUE"""),"Completo")</f>
        <v>Completo</v>
      </c>
    </row>
    <row r="27" customFormat="false" ht="14.25" hidden="false" customHeight="false" outlineLevel="0" collapsed="false">
      <c r="A27" s="18" t="str">
        <f aca="false">IFERROR(MID(D27,1,FIND("|",D27)-1)&amp;"-"&amp;C27,"")</f>
        <v>AECI201802-7-1-3</v>
      </c>
      <c r="B27" s="19" t="n">
        <f aca="false">IFERROR(__xludf.dummyfunction("""COMPUTED_VALUE"""),43853)</f>
        <v>43853</v>
      </c>
      <c r="C27" s="0" t="n">
        <f aca="false">IFERROR(__xludf.dummyfunction("""COMPUTED_VALUE"""),3)</f>
        <v>3</v>
      </c>
      <c r="D27" s="0" t="str">
        <f aca="false">IFERROR(__xludf.dummyfunction("""COMPUTED_VALUE"""),"AECI201802-7-1| Gestionar ante la alta gerencia, TIC y área de Mercadeo (responsable en la Institucion del proceso de admisiones) para el cumplimiento de los requisitos establecidos en la norma. - 30/11/2018")</f>
        <v>AECI201802-7-1| Gestionar ante la alta gerencia, TIC y área de Mercadeo (responsable en la Institucion del proceso de admisiones) para el cumplimiento de los requisitos establecidos en la norma. - 30/11/2018</v>
      </c>
      <c r="E27" s="0" t="str">
        <f aca="false">IFERROR(__xludf.dummyfunction("""COMPUTED_VALUE"""),"Accion terminada en el segundo seguimiento ")</f>
        <v>Accion terminada en el segundo seguimiento </v>
      </c>
      <c r="F27" s="0" t="str">
        <f aca="false">IFERROR(__xludf.dummyfunction("""COMPUTED_VALUE"""),"Completo")</f>
        <v>Completo</v>
      </c>
    </row>
    <row r="28" customFormat="false" ht="14.25" hidden="false" customHeight="false" outlineLevel="0" collapsed="false">
      <c r="A28" s="18" t="str">
        <f aca="false">IFERROR(MID(D28,1,FIND("|",D28)-1)&amp;"-"&amp;C28,"")</f>
        <v>AECI201802-8-1-3</v>
      </c>
      <c r="B28" s="19" t="n">
        <f aca="false">IFERROR(__xludf.dummyfunction("""COMPUTED_VALUE"""),43853)</f>
        <v>43853</v>
      </c>
      <c r="C28" s="0" t="n">
        <f aca="false">IFERROR(__xludf.dummyfunction("""COMPUTED_VALUE"""),3)</f>
        <v>3</v>
      </c>
      <c r="D28" s="0" t="str">
        <f aca="false">IFERROR(__xludf.dummyfunction("""COMPUTED_VALUE"""),"AECI201802-8-1| Solicitar de manera formal al Area de Sistemas de Informacion TICS la implementacion de la politica para el manejo de la Informacion en saud,de conformidad con lo establecido en el articulo 19 ley 1751 de 2015. - 30/11/2018")</f>
        <v>AECI201802-8-1| Solicitar de manera formal al Area de Sistemas de Informacion TICS la implementacion de la politica para el manejo de la Informacion en saud,de conformidad con lo establecido en el articulo 19 ley 1751 de 2015. - 30/11/2018</v>
      </c>
      <c r="E28" s="0" t="str">
        <f aca="false">IFERROR(__xludf.dummyfunction("""COMPUTED_VALUE"""),"Accion terminada en el segundo seguimiento ")</f>
        <v>Accion terminada en el segundo seguimiento </v>
      </c>
      <c r="F28" s="0" t="str">
        <f aca="false">IFERROR(__xludf.dummyfunction("""COMPUTED_VALUE"""),"Completo")</f>
        <v>Completo</v>
      </c>
    </row>
    <row r="29" customFormat="false" ht="14.25" hidden="false" customHeight="false" outlineLevel="0" collapsed="false">
      <c r="A29" s="18" t="str">
        <f aca="false">IFERROR(MID(D29,1,FIND("|",D29)-1)&amp;"-"&amp;C29,"")</f>
        <v>AECI201802-9-1-3</v>
      </c>
      <c r="B29" s="19" t="n">
        <f aca="false">IFERROR(__xludf.dummyfunction("""COMPUTED_VALUE"""),43853)</f>
        <v>43853</v>
      </c>
      <c r="C29" s="0" t="n">
        <f aca="false">IFERROR(__xludf.dummyfunction("""COMPUTED_VALUE"""),3)</f>
        <v>3</v>
      </c>
      <c r="D29" s="0" t="str">
        <f aca="false">IFERROR(__xludf.dummyfunction("""COMPUTED_VALUE"""),"AECI201802-9-1| Gestionar ante la alta gerencia y TICS la implementacion de digiturno con la interfases necesarias que permitan agilizar el proceso y dar cumplimiento a la normatividad y/o que se provea a traves del sistema de informacion de una alternati"&amp;"va que permita dar cumplimiento a lo planteado. - 30/11/2018")</f>
        <v>AECI201802-9-1| Gestionar ante la alta gerencia y TICS la implementacion de digiturno con la interfases necesarias que permitan agilizar el proceso y dar cumplimiento a la normatividad y/o que se provea a traves del sistema de informacion de una alternativa que permita dar cumplimiento a lo planteado. - 30/11/2018</v>
      </c>
      <c r="E29" s="0" t="str">
        <f aca="false">IFERROR(__xludf.dummyfunction("""COMPUTED_VALUE"""),"Accion terminada en el segundo seguimiento ")</f>
        <v>Accion terminada en el segundo seguimiento </v>
      </c>
      <c r="F29" s="0" t="str">
        <f aca="false">IFERROR(__xludf.dummyfunction("""COMPUTED_VALUE"""),"Completo")</f>
        <v>Completo</v>
      </c>
    </row>
    <row r="30" customFormat="false" ht="14.25" hidden="false" customHeight="false" outlineLevel="0" collapsed="false">
      <c r="A30" s="18" t="str">
        <f aca="false">IFERROR(MID(D30,1,FIND("|",D30)-1)&amp;"-"&amp;C30,"")</f>
        <v>AECI201802-2-1-3</v>
      </c>
      <c r="B30" s="19" t="n">
        <f aca="false">IFERROR(__xludf.dummyfunction("""COMPUTED_VALUE"""),43853)</f>
        <v>43853</v>
      </c>
      <c r="C30" s="0" t="n">
        <f aca="false">IFERROR(__xludf.dummyfunction("""COMPUTED_VALUE"""),3)</f>
        <v>3</v>
      </c>
      <c r="D30" s="0" t="str">
        <f aca="false">IFERROR(__xludf.dummyfunction("""COMPUTED_VALUE"""),"AECI201802-2-1| Socializacion y sensibilizacion al personal sobre la importancia de informar de forma asertiva sobre la clasificacion hecha y la expectativa de la oportunidad de la atencion de acuerdo con la misma - 30/11/2018")</f>
        <v>AECI201802-2-1| Socializacion y sensibilizacion al personal sobre la importancia de informar de forma asertiva sobre la clasificacion hecha y la expectativa de la oportunidad de la atencion de acuerdo con la misma - 30/11/2018</v>
      </c>
      <c r="E30" s="0" t="str">
        <f aca="false">IFERROR(__xludf.dummyfunction("""COMPUTED_VALUE"""),"Se anexa acta de socialización de triage al personal  de urgencias con fecha de Dic 12 de 2019")</f>
        <v>Se anexa acta de socialización de triage al personal  de urgencias con fecha de Dic 12 de 2019</v>
      </c>
      <c r="F30" s="0" t="str">
        <f aca="false">IFERROR(__xludf.dummyfunction("""COMPUTED_VALUE"""),"Completo")</f>
        <v>Completo</v>
      </c>
      <c r="G30" s="0" t="str">
        <f aca="false">IFERROR(__xludf.dummyfunction("""COMPUTED_VALUE"""),"https://drive.google.com/open?id=1TjhREJ1Ab2hyc9rqWtQrlM9FhM9rDuX_, https://drive.google.com/open?id=1OG2rLbQyuBIVXKH4-DHBQppbN8FCBwvk")</f>
        <v>https://drive.google.com/open?id=1TjhREJ1Ab2hyc9rqWtQrlM9FhM9rDuX_, https://drive.google.com/open?id=1OG2rLbQyuBIVXKH4-DHBQppbN8FCBwvk</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sheetData>
  <hyperlinks>
    <hyperlink ref="G7" r:id="rId1" display="https://drive.google.com/open?id=1ki6aYfIf-Jrkv3GU_Y_-VxJxvzjkspFX"/>
    <hyperlink ref="G8" r:id="rId2" display="https://drive.google.com/open?id=19o-xG-RXyOHXSaKCOMYUkgeKmJmDQM34"/>
    <hyperlink ref="G13" r:id="rId3" display="https://drive.google.com/open?id=1B7XyThBFFsu1LwPQ00Vepapb5H7EBM1z"/>
    <hyperlink ref="G16" r:id="rId4" display="https://drive.google.com/open?id=1xK03GvgNP2gxo8rQJPIwdlkZFYfidcPP"/>
    <hyperlink ref="G17" r:id="rId5" display="https://drive.google.com/open?id=124IOGsUFH-Mf3qZ6d1lzwFO5208xxAjB"/>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9.42"/>
    <col collapsed="false" customWidth="true" hidden="false" outlineLevel="0" max="4" min="4" style="0" width="30.28"/>
    <col collapsed="false" customWidth="true" hidden="false" outlineLevel="0" max="5" min="5" style="0" width="22.57"/>
  </cols>
  <sheetData>
    <row r="1" customFormat="false" ht="12.75" hidden="false" customHeight="false" outlineLevel="0" collapsed="false">
      <c r="A1" s="13" t="s">
        <v>1851</v>
      </c>
      <c r="B1" s="13" t="s">
        <v>1779</v>
      </c>
      <c r="C1" s="13" t="s">
        <v>1780</v>
      </c>
      <c r="D1" s="13" t="s">
        <v>1781</v>
      </c>
      <c r="E1" s="13" t="s">
        <v>1782</v>
      </c>
      <c r="F1" s="13" t="s">
        <v>1783</v>
      </c>
      <c r="G1" s="13" t="s">
        <v>1784</v>
      </c>
    </row>
    <row r="2" customFormat="false" ht="4.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SICI201803-1-1-1</v>
      </c>
      <c r="B4" s="19" t="n">
        <f aca="false">IFERROR(__xludf.dummyfunction("""COMPUTED_VALUE"""),43741)</f>
        <v>43741</v>
      </c>
      <c r="C4" s="0" t="n">
        <f aca="false">IFERROR(__xludf.dummyfunction("""COMPUTED_VALUE"""),1)</f>
        <v>1</v>
      </c>
      <c r="D4" s="0" t="str">
        <f aca="false">IFERROR(__xludf.dummyfunction("""COMPUTED_VALUE"""),"SICI201803-1-1| Se notificarán de forma inmediata al área de facturación los pacientes inactivos con el fin de obtener solución en menos de 24 horas. - 31/08/2019")</f>
        <v>SICI201803-1-1| Se notificarán de forma inmediata al área de facturación los pacientes inactivos con el fin de obtener solución en menos de 24 horas. - 31/08/2019</v>
      </c>
      <c r="E4" s="0" t="str">
        <f aca="false">IFERROR(__xludf.dummyfunction("""COMPUTED_VALUE"""),"Se evidencia la notificación que se realiza de manera constante a través de correo electrónico o Whatsapp.  No se tiene registro de la efectividad de la acción, es decir, si la solución se da antes de 24 horas.")</f>
        <v>Se evidencia la notificación que se realiza de manera constante a través de correo electrónico o Whatsapp.  No se tiene registro de la efectividad de la acción, es decir, si la solución se da antes de 24 horas.</v>
      </c>
      <c r="F4" s="0" t="str">
        <f aca="false">IFERROR(__xludf.dummyfunction("""COMPUTED_VALUE"""),"Completo")</f>
        <v>Completo</v>
      </c>
      <c r="G4" s="0" t="str">
        <f aca="false">IFERROR(__xludf.dummyfunction("""COMPUTED_VALUE"""),"https://drive.google.com/open?id=1cae74dwLIJaA4j7ufeKyBQHZ5qRPJyGW, https://drive.google.com/open?id=1MGKPPdxNtsH_q463WAN4oCq999RB2a7J")</f>
        <v>https://drive.google.com/open?id=1cae74dwLIJaA4j7ufeKyBQHZ5qRPJyGW, https://drive.google.com/open?id=1MGKPPdxNtsH_q463WAN4oCq999RB2a7J</v>
      </c>
    </row>
    <row r="5" customFormat="false" ht="14.25" hidden="false" customHeight="false" outlineLevel="0" collapsed="false">
      <c r="A5" s="18" t="str">
        <f aca="false">IFERROR(MID(D5,1,FIND("|",D5)-1)&amp;"-"&amp;C5,"")</f>
        <v>SICI201803-1-2-1</v>
      </c>
      <c r="B5" s="19" t="n">
        <f aca="false">IFERROR(__xludf.dummyfunction("""COMPUTED_VALUE"""),43741)</f>
        <v>43741</v>
      </c>
      <c r="C5" s="0" t="n">
        <f aca="false">IFERROR(__xludf.dummyfunction("""COMPUTED_VALUE"""),1)</f>
        <v>1</v>
      </c>
      <c r="D5" s="0" t="str">
        <f aca="false">IFERROR(__xludf.dummyfunction("""COMPUTED_VALUE"""),"SICI201803-1-2| Se elaborará intrumento (instructivo) en el cual se deje claro lo concerniente al manejo de las desviaciones presentadas por: caídas del sistema, valores negativos, pedidos de proveedores sin traslado y préstamos de insumos no legalizados "&amp;"con el fin de minimizar las desviaciones. - 30/12/1899")</f>
        <v>SICI201803-1-2| Se elaborará intrumento (instructivo) en el cual se deje claro lo concerniente al manejo de las desviaciones presentadas por: caídas del sistema, valores negativos, pedidos de proveedores sin traslado y préstamos de insumos no legalizados con el fin de minimizar las desviaciones. - 30/12/1899</v>
      </c>
      <c r="E5" s="0" t="str">
        <f aca="false">IFERROR(__xludf.dummyfunction("""COMPUTED_VALUE"""),"Se realizó una herramienta para el control de préstamos.  Dado que existen otras áreas involucradas en el proceso, el instrumento solo cubre el servicio farmacéutico. ")</f>
        <v>Se realizó una herramienta para el control de préstamos.  Dado que existen otras áreas involucradas en el proceso, el instrumento solo cubre el servicio farmacéutico. </v>
      </c>
      <c r="F5" s="0" t="str">
        <f aca="false">IFERROR(__xludf.dummyfunction("""COMPUTED_VALUE"""),"Completo")</f>
        <v>Completo</v>
      </c>
      <c r="G5" s="0" t="str">
        <f aca="false">IFERROR(__xludf.dummyfunction("""COMPUTED_VALUE"""),"https://drive.google.com/open?id=18xPngh00K-3__pNU5CK6N6NzqJ89-2vO, https://drive.google.com/open?id=1m8y_ncNw8ejc0KnIzFRHQ35MnjC8iLaj, https://drive.google.com/open?id=1H8NLRCpgJRRqLL7YT_tLbJqv4pMH0wGp, https://drive.google.com/open?id=16MYQZOHCHK9d3349e"&amp;"C09cX4RSf6pbxnm")</f>
        <v>https://drive.google.com/open?id=18xPngh00K-3__pNU5CK6N6NzqJ89-2vO, https://drive.google.com/open?id=1m8y_ncNw8ejc0KnIzFRHQ35MnjC8iLaj, https://drive.google.com/open?id=1H8NLRCpgJRRqLL7YT_tLbJqv4pMH0wGp, https://drive.google.com/open?id=16MYQZOHCHK9d3349eC09cX4RSf6pbxnm</v>
      </c>
    </row>
    <row r="6" customFormat="false" ht="14.25" hidden="false" customHeight="false" outlineLevel="0" collapsed="false">
      <c r="A6" s="18" t="str">
        <f aca="false">IFERROR(MID(D6,1,FIND("|",D6)-1)&amp;"-"&amp;C6,"")</f>
        <v>SICI201803-1-4-1</v>
      </c>
      <c r="B6" s="19" t="n">
        <f aca="false">IFERROR(__xludf.dummyfunction("""COMPUTED_VALUE"""),43741)</f>
        <v>43741</v>
      </c>
      <c r="C6" s="0" t="n">
        <f aca="false">IFERROR(__xludf.dummyfunction("""COMPUTED_VALUE"""),1)</f>
        <v>1</v>
      </c>
      <c r="D6" s="0" t="str">
        <f aca="false">IFERROR(__xludf.dummyfunction("""COMPUTED_VALUE"""),"SICI201803-1-4| Se diseñará e implementará instrumento (formato) para préstamos única y exclusivamente para casos de urgencia vital, el formato debe llegar a la farmacia debidamente diligenciado con toda la información del paciente y de la persona que lo "&amp;"solicita. - 30/12/1899")</f>
        <v>SICI201803-1-4| Se diseñará e implementará instrumento (formato) para préstamos única y exclusivamente para casos de urgencia vital, el formato debe llegar a la farmacia debidamente diligenciado con toda la información del paciente y de la persona que lo solicita. - 30/12/1899</v>
      </c>
      <c r="E6" s="0" t="str">
        <f aca="false">IFERROR(__xludf.dummyfunction("""COMPUTED_VALUE"""),"Se evidencia formato para el control de préstamos y de urgencia vital")</f>
        <v>Se evidencia formato para el control de préstamos y de urgencia vital</v>
      </c>
      <c r="F6" s="0" t="str">
        <f aca="false">IFERROR(__xludf.dummyfunction("""COMPUTED_VALUE"""),"Completo")</f>
        <v>Completo</v>
      </c>
      <c r="G6" s="20" t="str">
        <f aca="false">IFERROR(__xludf.dummyfunction("""COMPUTED_VALUE"""),"https://drive.google.com/open?id=1NAZ8AtcSiG2vKVYQa0Wj85U8BVm7oRJR")</f>
        <v>https://drive.google.com/open?id=1NAZ8AtcSiG2vKVYQa0Wj85U8BVm7oRJR</v>
      </c>
    </row>
    <row r="7" customFormat="false" ht="14.25" hidden="false" customHeight="false" outlineLevel="0" collapsed="false">
      <c r="A7" s="18" t="str">
        <f aca="false">IFERROR(MID(D7,1,FIND("|",D7)-1)&amp;"-"&amp;C7,"")</f>
        <v>SICI201803-1-5-1</v>
      </c>
      <c r="B7" s="19" t="n">
        <f aca="false">IFERROR(__xludf.dummyfunction("""COMPUTED_VALUE"""),43741)</f>
        <v>43741</v>
      </c>
      <c r="C7" s="0" t="n">
        <f aca="false">IFERROR(__xludf.dummyfunction("""COMPUTED_VALUE"""),1)</f>
        <v>1</v>
      </c>
      <c r="D7" s="0" t="str">
        <f aca="false">IFERROR(__xludf.dummyfunction("""COMPUTED_VALUE"""),"SICI201803-1-5| Los préstamos no legalizados se notificarán al referente del servicio para que éste gestione con la persona responsable del préstamo la respectiva legalizacion de los mismos. - 30/12/1899")</f>
        <v>SICI201803-1-5| Los préstamos no legalizados se notificarán al referente del servicio para que éste gestione con la persona responsable del préstamo la respectiva legalizacion de los mismos. - 30/12/1899</v>
      </c>
      <c r="E7" s="0" t="str">
        <f aca="false">IFERROR(__xludf.dummyfunction("""COMPUTED_VALUE"""),"Por directriz general del comité de farmacia y terapéutica, no se deben realizar préstamos.  No obstante, cuando por necesidad del servicio de urgencia vital de los pacientes lo requieren, este se notifica a través del Chat de farmacia.  Se sugiere respal"&amp;"dar a través de correo electrónico este chat.   ")</f>
        <v>Por directriz general del comité de farmacia y terapéutica, no se deben realizar préstamos.  No obstante, cuando por necesidad del servicio de urgencia vital de los pacientes lo requieren, este se notifica a través del Chat de farmacia.  Se sugiere respaldar a través de correo electrónico este chat.   </v>
      </c>
      <c r="F7" s="0" t="str">
        <f aca="false">IFERROR(__xludf.dummyfunction("""COMPUTED_VALUE"""),"Completo")</f>
        <v>Completo</v>
      </c>
    </row>
    <row r="8" customFormat="false" ht="14.25" hidden="false" customHeight="false" outlineLevel="0" collapsed="false">
      <c r="A8" s="18" t="str">
        <f aca="false">IFERROR(MID(D8,1,FIND("|",D8)-1)&amp;"-"&amp;C8,"")</f>
        <v>SICI201803-1-3-1</v>
      </c>
      <c r="B8" s="19" t="n">
        <f aca="false">IFERROR(__xludf.dummyfunction("""COMPUTED_VALUE"""),43741)</f>
        <v>43741</v>
      </c>
      <c r="C8" s="0" t="n">
        <f aca="false">IFERROR(__xludf.dummyfunction("""COMPUTED_VALUE"""),1)</f>
        <v>1</v>
      </c>
      <c r="D8" s="0" t="str">
        <f aca="false">IFERROR(__xludf.dummyfunction("""COMPUTED_VALUE"""),"SICI201803-1-3| Se realizará capacitacion al personal sobre el buen manejo de los medicamentos e insumos de acuerdo a las buenas prácticas de almacenamiento y dispensacion. - 30/12/1899")</f>
        <v>SICI201803-1-3| Se realizará capacitacion al personal sobre el buen manejo de los medicamentos e insumos de acuerdo a las buenas prácticas de almacenamiento y dispensacion. - 30/12/1899</v>
      </c>
      <c r="E8" s="0" t="str">
        <f aca="false">IFERROR(__xludf.dummyfunction("""COMPUTED_VALUE"""),"Se han realizado capacitaciones al personal de farmacia sobre las buenas prácticas de almacenamiento.")</f>
        <v>Se han realizado capacitaciones al personal de farmacia sobre las buenas prácticas de almacenamiento.</v>
      </c>
      <c r="F8" s="0" t="str">
        <f aca="false">IFERROR(__xludf.dummyfunction("""COMPUTED_VALUE"""),"Completo")</f>
        <v>Completo</v>
      </c>
      <c r="G8" s="0" t="str">
        <f aca="false">IFERROR(__xludf.dummyfunction("""COMPUTED_VALUE"""),"https://drive.google.com/open?id=1l_QTEWCYAWmRB5JEATR43-V1SGk7Co5a, https://drive.google.com/open?id=1cveNGXyegW_wQo4cCtxeRIGt1VJhkAfk, https://drive.google.com/open?id=1N4LPd-stPFmvB98IHzzsUvXYjKZUOq_y")</f>
        <v>https://drive.google.com/open?id=1l_QTEWCYAWmRB5JEATR43-V1SGk7Co5a, https://drive.google.com/open?id=1cveNGXyegW_wQo4cCtxeRIGt1VJhkAfk, https://drive.google.com/open?id=1N4LPd-stPFmvB98IHzzsUvXYjKZUOq_y</v>
      </c>
    </row>
    <row r="9" customFormat="false" ht="14.25" hidden="false" customHeight="false" outlineLevel="0" collapsed="false">
      <c r="A9" s="18" t="str">
        <f aca="false">IFERROR(MID(D9,1,FIND("|",D9)-1)&amp;"-"&amp;C9,"")</f>
        <v>SICI201803-1-6-1</v>
      </c>
      <c r="B9" s="19" t="n">
        <f aca="false">IFERROR(__xludf.dummyfunction("""COMPUTED_VALUE"""),43741)</f>
        <v>43741</v>
      </c>
      <c r="C9" s="0" t="n">
        <f aca="false">IFERROR(__xludf.dummyfunction("""COMPUTED_VALUE"""),1)</f>
        <v>1</v>
      </c>
      <c r="D9" s="0" t="str">
        <f aca="false">IFERROR(__xludf.dummyfunction("""COMPUTED_VALUE"""),"SICI201803-1-6| Se notificará a la Direccion administrativa (suministros) para que generen acciones de mejora con respecto a las entregas sin traslado. - 30/12/1899")</f>
        <v>SICI201803-1-6| Se notificará a la Direccion administrativa (suministros) para que generen acciones de mejora con respecto a las entregas sin traslado. - 30/12/1899</v>
      </c>
      <c r="E9" s="0" t="str">
        <f aca="false">IFERROR(__xludf.dummyfunction("""COMPUTED_VALUE"""),"No se evidencia ejecución de la acción. ")</f>
        <v>No se evidencia ejecución de la acción. </v>
      </c>
      <c r="F9" s="0" t="str">
        <f aca="false">IFERROR(__xludf.dummyfunction("""COMPUTED_VALUE"""),"Atrasado")</f>
        <v>Atrasado</v>
      </c>
    </row>
    <row r="10" customFormat="false" ht="14.25" hidden="false" customHeight="false" outlineLevel="0" collapsed="false">
      <c r="A10" s="18" t="str">
        <f aca="false">IFERROR(MID(D10,1,FIND("|",D10)-1)&amp;"-"&amp;C10,"")</f>
        <v>SICI201803-1-7-1</v>
      </c>
      <c r="B10" s="19" t="n">
        <f aca="false">IFERROR(__xludf.dummyfunction("""COMPUTED_VALUE"""),43741)</f>
        <v>43741</v>
      </c>
      <c r="C10" s="0" t="n">
        <f aca="false">IFERROR(__xludf.dummyfunction("""COMPUTED_VALUE"""),1)</f>
        <v>1</v>
      </c>
      <c r="D10" s="0" t="str">
        <f aca="false">IFERROR(__xludf.dummyfunction("""COMPUTED_VALUE"""),"SICI201803-1-7| Se notificará por correo electrónico a la Direccion de Servicios Complementarios la necesidad de completar el recurso humano para poder ejecutar las actividades de control en cuanto al manejo de inventarios. - 30/12/1899")</f>
        <v>SICI201803-1-7| Se notificará por correo electrónico a la Direccion de Servicios Complementarios la necesidad de completar el recurso humano para poder ejecutar las actividades de control en cuanto al manejo de inventarios. - 30/12/1899</v>
      </c>
      <c r="E10" s="0" t="str">
        <f aca="false">IFERROR(__xludf.dummyfunction("""COMPUTED_VALUE"""),"Se evidencian múltiples solicitudes de requerimiento de personal a través de correo electrónico.  En la actualidad se tiene un faltante de 17 auxiliares faltantes.   ")</f>
        <v>Se evidencian múltiples solicitudes de requerimiento de personal a través de correo electrónico.  En la actualidad se tiene un faltante de 17 auxiliares faltantes.   </v>
      </c>
      <c r="F10" s="0" t="str">
        <f aca="false">IFERROR(__xludf.dummyfunction("""COMPUTED_VALUE"""),"Completo")</f>
        <v>Completo</v>
      </c>
      <c r="G10" s="0" t="str">
        <f aca="false">IFERROR(__xludf.dummyfunction("""COMPUTED_VALUE"""),"https://drive.google.com/open?id=12hDf9LFJHEaUDvms9c_OUfiz_dOopZPR, https://drive.google.com/open?id=1oJOPxbvp81EIv6E-lcJzxr3rOPtNmrx2, https://drive.google.com/open?id=1n8I97LfPVWj4QegfWO_66WggjX6QDr7k")</f>
        <v>https://drive.google.com/open?id=12hDf9LFJHEaUDvms9c_OUfiz_dOopZPR, https://drive.google.com/open?id=1oJOPxbvp81EIv6E-lcJzxr3rOPtNmrx2, https://drive.google.com/open?id=1n8I97LfPVWj4QegfWO_66WggjX6QDr7k</v>
      </c>
    </row>
    <row r="11" customFormat="false" ht="14.25" hidden="false" customHeight="false" outlineLevel="0" collapsed="false">
      <c r="A11" s="18" t="str">
        <f aca="false">IFERROR(MID(D11,1,FIND("|",D11)-1)&amp;"-"&amp;C11,"")</f>
        <v>SICI201803-2-1-1</v>
      </c>
      <c r="B11" s="19" t="n">
        <f aca="false">IFERROR(__xludf.dummyfunction("""COMPUTED_VALUE"""),43741)</f>
        <v>43741</v>
      </c>
      <c r="C11" s="0" t="n">
        <f aca="false">IFERROR(__xludf.dummyfunction("""COMPUTED_VALUE"""),1)</f>
        <v>1</v>
      </c>
      <c r="D11" s="0" t="str">
        <f aca="false">IFERROR(__xludf.dummyfunction("""COMPUTED_VALUE"""),"SICI201803-2-1| Se realizará inventario del estado de los muebles de medicamentos de control especial con una periodicidad de cada 4 meses. - 31/05/2019")</f>
        <v>SICI201803-2-1| Se realizará inventario del estado de los muebles de medicamentos de control especial con una periodicidad de cada 4 meses. - 31/05/2019</v>
      </c>
      <c r="E11" s="0" t="str">
        <f aca="false">IFERROR(__xludf.dummyfunction("""COMPUTED_VALUE"""),"De acuerdo con la visita del Fondo Nacional de Estupefacientes a todas las farmacias, generando un concepto favorable.  Se recomienda que se realice revisión periódica del estado de muebles y vitrinas.")</f>
        <v>De acuerdo con la visita del Fondo Nacional de Estupefacientes a todas las farmacias, generando un concepto favorable.  Se recomienda que se realice revisión periódica del estado de muebles y vitrinas.</v>
      </c>
      <c r="F11" s="0" t="str">
        <f aca="false">IFERROR(__xludf.dummyfunction("""COMPUTED_VALUE"""),"Completo")</f>
        <v>Completo</v>
      </c>
      <c r="G11" s="0" t="str">
        <f aca="false">IFERROR(__xludf.dummyfunction("""COMPUTED_VALUE"""),"https://drive.google.com/open?id=1tmm1deElpkBXLNq5_j_PXgNtomfH40SY, https://drive.google.com/open?id=1rd-Fb00dY7Yl07SGRmvwMy5hloM9vbaV, https://drive.google.com/open?id=1In3Iyo5uzaZX1ynh4mEErreoCnOeJKu-")</f>
        <v>https://drive.google.com/open?id=1tmm1deElpkBXLNq5_j_PXgNtomfH40SY, https://drive.google.com/open?id=1rd-Fb00dY7Yl07SGRmvwMy5hloM9vbaV, https://drive.google.com/open?id=1In3Iyo5uzaZX1ynh4mEErreoCnOeJKu-</v>
      </c>
    </row>
    <row r="12" customFormat="false" ht="14.25" hidden="false" customHeight="false" outlineLevel="0" collapsed="false">
      <c r="A12" s="18" t="str">
        <f aca="false">IFERROR(MID(D12,1,FIND("|",D12)-1)&amp;"-"&amp;C12,"")</f>
        <v>SICI201803-2-2-1</v>
      </c>
      <c r="B12" s="19" t="n">
        <f aca="false">IFERROR(__xludf.dummyfunction("""COMPUTED_VALUE"""),43741)</f>
        <v>43741</v>
      </c>
      <c r="C12" s="0" t="n">
        <f aca="false">IFERROR(__xludf.dummyfunction("""COMPUTED_VALUE"""),1)</f>
        <v>1</v>
      </c>
      <c r="D12" s="0" t="str">
        <f aca="false">IFERROR(__xludf.dummyfunction("""COMPUTED_VALUE"""),"SICI201803-2-2| Se generará instrumento de verificación (formato) con el fin de tener soporte escrito de la actividad realizada en el punto 1. - 30/12/1899")</f>
        <v>SICI201803-2-2| Se generará instrumento de verificación (formato) con el fin de tener soporte escrito de la actividad realizada en el punto 1. - 30/12/1899</v>
      </c>
      <c r="E12" s="0" t="str">
        <f aca="false">IFERROR(__xludf.dummyfunction("""COMPUTED_VALUE"""),"El instrumento se encuentra en desarrollo")</f>
        <v>El instrumento se encuentra en desarrollo</v>
      </c>
      <c r="F12" s="0" t="str">
        <f aca="false">IFERROR(__xludf.dummyfunction("""COMPUTED_VALUE"""),"En desarrollo")</f>
        <v>En desarrollo</v>
      </c>
    </row>
    <row r="13" customFormat="false" ht="14.25" hidden="false" customHeight="false" outlineLevel="0" collapsed="false">
      <c r="A13" s="18" t="str">
        <f aca="false">IFERROR(MID(D13,1,FIND("|",D13)-1)&amp;"-"&amp;C13,"")</f>
        <v>SICI201803-2-3-1</v>
      </c>
      <c r="B13" s="19" t="n">
        <f aca="false">IFERROR(__xludf.dummyfunction("""COMPUTED_VALUE"""),43741)</f>
        <v>43741</v>
      </c>
      <c r="C13" s="0" t="n">
        <f aca="false">IFERROR(__xludf.dummyfunction("""COMPUTED_VALUE"""),1)</f>
        <v>1</v>
      </c>
      <c r="D13" s="0" t="str">
        <f aca="false">IFERROR(__xludf.dummyfunction("""COMPUTED_VALUE"""),"SICI201803-2-3| En caso de no cumplir con los requisitos de seguridad del mueble (chapas en buen estado) se notificará a través de la mesa de ayuda al área de mantenimiento o activos físicos para su reparación o cambio. - 30/12/1899")</f>
        <v>SICI201803-2-3| En caso de no cumplir con los requisitos de seguridad del mueble (chapas en buen estado) se notificará a través de la mesa de ayuda al área de mantenimiento o activos físicos para su reparación o cambio. - 30/12/1899</v>
      </c>
      <c r="E13" s="0" t="str">
        <f aca="false">IFERROR(__xludf.dummyfunction("""COMPUTED_VALUE"""),"Se evidencia reporte en mesa de ayuda de las necesidades de mantenimiento.")</f>
        <v>Se evidencia reporte en mesa de ayuda de las necesidades de mantenimiento.</v>
      </c>
      <c r="F13" s="0" t="str">
        <f aca="false">IFERROR(__xludf.dummyfunction("""COMPUTED_VALUE"""),"Completo")</f>
        <v>Completo</v>
      </c>
      <c r="G13" s="0" t="str">
        <f aca="false">IFERROR(__xludf.dummyfunction("""COMPUTED_VALUE"""),"https://drive.google.com/open?id=1VVZI9FYNLd_nE5cp578OUQ_jKXq2WzTe, https://drive.google.com/open?id=1PNMSSuSvM-U-mU2-BriePWgD2BV8XehG, https://drive.google.com/open?id=1J0nv2PYDje7zsfoDSC3gZSmkiAsmQlPW, https://drive.google.com/open?id=1IHhLdxxsmTgSIeYHy"&amp;"DJ7P47jpnktqIsf")</f>
        <v>https://drive.google.com/open?id=1VVZI9FYNLd_nE5cp578OUQ_jKXq2WzTe, https://drive.google.com/open?id=1PNMSSuSvM-U-mU2-BriePWgD2BV8XehG, https://drive.google.com/open?id=1J0nv2PYDje7zsfoDSC3gZSmkiAsmQlPW, https://drive.google.com/open?id=1IHhLdxxsmTgSIeYHyDJ7P47jpnktqIsf</v>
      </c>
    </row>
    <row r="14" customFormat="false" ht="14.25" hidden="false" customHeight="false" outlineLevel="0" collapsed="false">
      <c r="A14" s="18" t="str">
        <f aca="false">IFERROR(MID(D14,1,FIND("|",D14)-1)&amp;"-"&amp;C14,"")</f>
        <v>SICI201803-2-4-1</v>
      </c>
      <c r="B14" s="19" t="n">
        <f aca="false">IFERROR(__xludf.dummyfunction("""COMPUTED_VALUE"""),43741)</f>
        <v>43741</v>
      </c>
      <c r="C14" s="0" t="n">
        <f aca="false">IFERROR(__xludf.dummyfunction("""COMPUTED_VALUE"""),1)</f>
        <v>1</v>
      </c>
      <c r="D14" s="0" t="str">
        <f aca="false">IFERROR(__xludf.dummyfunction("""COMPUTED_VALUE"""),"SICI201803-2-4| Se realizará seguimiento de las correcciones pertinentes. - 30/12/1899")</f>
        <v>SICI201803-2-4| Se realizará seguimiento de las correcciones pertinentes. - 30/12/1899</v>
      </c>
      <c r="E14" s="0" t="str">
        <f aca="false">IFERROR(__xludf.dummyfunction("""COMPUTED_VALUE"""),"Actividad en desarrollo.")</f>
        <v>Actividad en desarrollo.</v>
      </c>
      <c r="F14" s="0" t="str">
        <f aca="false">IFERROR(__xludf.dummyfunction("""COMPUTED_VALUE"""),"En desarrollo")</f>
        <v>En desarrollo</v>
      </c>
    </row>
    <row r="15" customFormat="false" ht="14.25" hidden="false" customHeight="false" outlineLevel="0" collapsed="false">
      <c r="A15" s="18" t="str">
        <f aca="false">IFERROR(MID(D15,1,FIND("|",D15)-1)&amp;"-"&amp;C15,"")</f>
        <v>SICI201803-3-1-1</v>
      </c>
      <c r="B15" s="19" t="n">
        <f aca="false">IFERROR(__xludf.dummyfunction("""COMPUTED_VALUE"""),43741)</f>
        <v>43741</v>
      </c>
      <c r="C15" s="0" t="n">
        <f aca="false">IFERROR(__xludf.dummyfunction("""COMPUTED_VALUE"""),1)</f>
        <v>1</v>
      </c>
      <c r="D15" s="0" t="str">
        <f aca="false">IFERROR(__xludf.dummyfunction("""COMPUTED_VALUE"""),"SICI201803-3-1| Se notificará al referente de enfermería el no cumplimiento del correcto uso y diligenciamiento del formato de devoluciones por parte de enfermeria. - 31/05/2019")</f>
        <v>SICI201803-3-1| Se notificará al referente de enfermería el no cumplimiento del correcto uso y diligenciamiento del formato de devoluciones por parte de enfermeria. - 31/05/2019</v>
      </c>
      <c r="E15" s="0" t="str">
        <f aca="false">IFERROR(__xludf.dummyfunction("""COMPUTED_VALUE"""),"Se cuenta con formato de devoluciones, sin embargo se usa parcialmente.  Se sugiere crear instructivo y formato de aprovechamiento.")</f>
        <v>Se cuenta con formato de devoluciones, sin embargo se usa parcialmente.  Se sugiere crear instructivo y formato de aprovechamiento.</v>
      </c>
      <c r="F15" s="0" t="str">
        <f aca="false">IFERROR(__xludf.dummyfunction("""COMPUTED_VALUE"""),"Atrasado")</f>
        <v>Atrasado</v>
      </c>
    </row>
    <row r="16" customFormat="false" ht="14.25" hidden="false" customHeight="false" outlineLevel="0" collapsed="false">
      <c r="A16" s="18" t="str">
        <f aca="false">IFERROR(MID(D16,1,FIND("|",D16)-1)&amp;"-"&amp;C16,"")</f>
        <v>SICI201803-3-2-1</v>
      </c>
      <c r="B16" s="19" t="n">
        <f aca="false">IFERROR(__xludf.dummyfunction("""COMPUTED_VALUE"""),43741)</f>
        <v>43741</v>
      </c>
      <c r="C16" s="0" t="n">
        <f aca="false">IFERROR(__xludf.dummyfunction("""COMPUTED_VALUE"""),1)</f>
        <v>1</v>
      </c>
      <c r="D16" s="0" t="str">
        <f aca="false">IFERROR(__xludf.dummyfunction("""COMPUTED_VALUE"""),"SICI201803-3-2| Posterior a la fecha de notificación se exigirá desde el servicio farmacéutico dicho cumplimiento y no se recibirán devoluciones sin este documento. - 30/12/1899")</f>
        <v>SICI201803-3-2| Posterior a la fecha de notificación se exigirá desde el servicio farmacéutico dicho cumplimiento y no se recibirán devoluciones sin este documento. - 30/12/1899</v>
      </c>
      <c r="E16" s="0" t="str">
        <f aca="false">IFERROR(__xludf.dummyfunction("""COMPUTED_VALUE"""),"Se cuenta con formato de devoluciones, sin embargo se usa parcialmente.  Se sugiere crear instructivo y formato de aprovechamiento.")</f>
        <v>Se cuenta con formato de devoluciones, sin embargo se usa parcialmente.  Se sugiere crear instructivo y formato de aprovechamiento.</v>
      </c>
      <c r="F16" s="0" t="str">
        <f aca="false">IFERROR(__xludf.dummyfunction("""COMPUTED_VALUE"""),"Atrasado")</f>
        <v>Atrasado</v>
      </c>
    </row>
    <row r="17" customFormat="false" ht="14.25" hidden="false" customHeight="false" outlineLevel="0" collapsed="false">
      <c r="A17" s="18" t="str">
        <f aca="false">IFERROR(MID(D17,1,FIND("|",D17)-1)&amp;"-"&amp;C17,"")</f>
        <v>SICI201803-3-3-1</v>
      </c>
      <c r="B17" s="19" t="n">
        <f aca="false">IFERROR(__xludf.dummyfunction("""COMPUTED_VALUE"""),43741)</f>
        <v>43741</v>
      </c>
      <c r="C17" s="0" t="n">
        <f aca="false">IFERROR(__xludf.dummyfunction("""COMPUTED_VALUE"""),1)</f>
        <v>1</v>
      </c>
      <c r="D17" s="0" t="str">
        <f aca="false">IFERROR(__xludf.dummyfunction("""COMPUTED_VALUE"""),"SICI201803-3-3| Se notificará al equipo HIS sobre los inconvenientes presentados en cuanto a las devoluciones por sistema y se hará seguimiento. - 30/12/1899")</f>
        <v>SICI201803-3-3| Se notificará al equipo HIS sobre los inconvenientes presentados en cuanto a las devoluciones por sistema y se hará seguimiento. - 30/12/1899</v>
      </c>
      <c r="E17" s="0" t="str">
        <f aca="false">IFERROR(__xludf.dummyfunction("""COMPUTED_VALUE"""),"Los inconvenientes por devoluciones se han tratado por comité de Historia Clínica.  Pendiente Soporte de acta de comité. ")</f>
        <v>Los inconvenientes por devoluciones se han tratado por comité de Historia Clínica.  Pendiente Soporte de acta de comité. </v>
      </c>
      <c r="F17" s="0" t="str">
        <f aca="false">IFERROR(__xludf.dummyfunction("""COMPUTED_VALUE"""),"En desarrollo")</f>
        <v>En desarrollo</v>
      </c>
    </row>
    <row r="18" customFormat="false" ht="14.25" hidden="false" customHeight="false" outlineLevel="0" collapsed="false">
      <c r="A18" s="18" t="str">
        <f aca="false">IFERROR(MID(D18,1,FIND("|",D18)-1)&amp;"-"&amp;C18,"")</f>
        <v>SICI201803-5-1-1</v>
      </c>
      <c r="B18" s="19" t="n">
        <f aca="false">IFERROR(__xludf.dummyfunction("""COMPUTED_VALUE"""),43741)</f>
        <v>43741</v>
      </c>
      <c r="C18" s="0" t="n">
        <f aca="false">IFERROR(__xludf.dummyfunction("""COMPUTED_VALUE"""),1)</f>
        <v>1</v>
      </c>
      <c r="D18" s="0" t="str">
        <f aca="false">IFERROR(__xludf.dummyfunction("""COMPUTED_VALUE"""),"SICI201803-5-1| Se notificará a Supervisión de contratos la necesidad de la dispensación de forma completa y oportuna el pedido de 45 días con el fin de minimizar los medicamentos o insumos faltantes. - 30/04/2019")</f>
        <v>SICI201803-5-1| Se notificará a Supervisión de contratos la necesidad de la dispensación de forma completa y oportuna el pedido de 45 días con el fin de minimizar los medicamentos o insumos faltantes. - 30/04/2019</v>
      </c>
      <c r="E18" s="0" t="str">
        <f aca="false">IFERROR(__xludf.dummyfunction("""COMPUTED_VALUE"""),"Se evidencia las notificaciones a la supervisión de contratos a través de correo electrónico y cuando se entra en periodo de crisis de faltantes.")</f>
        <v>Se evidencia las notificaciones a la supervisión de contratos a través de correo electrónico y cuando se entra en periodo de crisis de faltantes.</v>
      </c>
      <c r="F18" s="0" t="str">
        <f aca="false">IFERROR(__xludf.dummyfunction("""COMPUTED_VALUE"""),"Completo")</f>
        <v>Completo</v>
      </c>
      <c r="G18" s="0" t="str">
        <f aca="false">IFERROR(__xludf.dummyfunction("""COMPUTED_VALUE"""),"https://drive.google.com/open?id=1z3DxHo2htjpgXK7fH61zX2gAtIl3XO3v, https://drive.google.com/open?id=1bPgVe-kvoi2bPFcE-aOFFNQj4lDNFf-U")</f>
        <v>https://drive.google.com/open?id=1z3DxHo2htjpgXK7fH61zX2gAtIl3XO3v, https://drive.google.com/open?id=1bPgVe-kvoi2bPFcE-aOFFNQj4lDNFf-U</v>
      </c>
    </row>
    <row r="19" customFormat="false" ht="14.25" hidden="false" customHeight="false" outlineLevel="0" collapsed="false">
      <c r="A19" s="18" t="str">
        <f aca="false">IFERROR(MID(D19,1,FIND("|",D19)-1)&amp;"-"&amp;C19,"")</f>
        <v>SICI201803-5-2-1</v>
      </c>
      <c r="B19" s="19" t="n">
        <f aca="false">IFERROR(__xludf.dummyfunction("""COMPUTED_VALUE"""),43741)</f>
        <v>43741</v>
      </c>
      <c r="C19" s="0" t="n">
        <f aca="false">IFERROR(__xludf.dummyfunction("""COMPUTED_VALUE"""),1)</f>
        <v>1</v>
      </c>
      <c r="D19" s="0" t="str">
        <f aca="false">IFERROR(__xludf.dummyfunction("""COMPUTED_VALUE"""),"SICI201803-5-2| Se notificará al área de caja menor la necesidad de la gestión de forma inmediata de los medicamentos y dispositivos en menos de 24 horas. - 30/12/1899")</f>
        <v>SICI201803-5-2| Se notificará al área de caja menor la necesidad de la gestión de forma inmediata de los medicamentos y dispositivos en menos de 24 horas. - 30/12/1899</v>
      </c>
      <c r="E19" s="0" t="str">
        <f aca="false">IFERROR(__xludf.dummyfunction("""COMPUTED_VALUE"""),"Se evidencia solicitud de recursos a caja menor para los faltantes.")</f>
        <v>Se evidencia solicitud de recursos a caja menor para los faltantes.</v>
      </c>
      <c r="F19" s="0" t="str">
        <f aca="false">IFERROR(__xludf.dummyfunction("""COMPUTED_VALUE"""),"Completo")</f>
        <v>Completo</v>
      </c>
      <c r="G19" s="0" t="str">
        <f aca="false">IFERROR(__xludf.dummyfunction("""COMPUTED_VALUE"""),"https://drive.google.com/open?id=1HsUuPeZEqOVE-8E1kbmHS89j64TmMNUV, https://drive.google.com/open?id=1w2WIDFnbX_CHZCpYEJPLqt82P6PXFzvZ")</f>
        <v>https://drive.google.com/open?id=1HsUuPeZEqOVE-8E1kbmHS89j64TmMNUV, https://drive.google.com/open?id=1w2WIDFnbX_CHZCpYEJPLqt82P6PXFzvZ</v>
      </c>
    </row>
    <row r="20" customFormat="false" ht="14.25" hidden="false" customHeight="false" outlineLevel="0" collapsed="false">
      <c r="A20" s="18" t="str">
        <f aca="false">IFERROR(MID(D20,1,FIND("|",D20)-1)&amp;"-"&amp;C20,"")</f>
        <v>SICI201803-6-1-1</v>
      </c>
      <c r="B20" s="19" t="n">
        <f aca="false">IFERROR(__xludf.dummyfunction("""COMPUTED_VALUE"""),43741)</f>
        <v>43741</v>
      </c>
      <c r="C20" s="0" t="n">
        <f aca="false">IFERROR(__xludf.dummyfunction("""COMPUTED_VALUE"""),1)</f>
        <v>1</v>
      </c>
      <c r="D20" s="0" t="str">
        <f aca="false">IFERROR(__xludf.dummyfunction("""COMPUTED_VALUE"""),"SICI201803-6-1| Se notificara al área de Supervisión de contratos la necesidad de la dispensación de forma completa y oportuna del pedido de 45 dias con el fin de minimizar faltantes y pendientes. - 30/04/2019")</f>
        <v>SICI201803-6-1| Se notificara al área de Supervisión de contratos la necesidad de la dispensación de forma completa y oportuna del pedido de 45 dias con el fin de minimizar faltantes y pendientes. - 30/04/2019</v>
      </c>
      <c r="E20" s="0" t="str">
        <f aca="false">IFERROR(__xludf.dummyfunction("""COMPUTED_VALUE"""),"Se evidencia las notificaciones a la supervisión de contratos a través de correo electrónico y cuando se entra en periodo de crisis de faltantes.")</f>
        <v>Se evidencia las notificaciones a la supervisión de contratos a través de correo electrónico y cuando se entra en periodo de crisis de faltantes.</v>
      </c>
      <c r="F20" s="0" t="str">
        <f aca="false">IFERROR(__xludf.dummyfunction("""COMPUTED_VALUE"""),"Completo")</f>
        <v>Completo</v>
      </c>
      <c r="G20" s="0" t="str">
        <f aca="false">IFERROR(__xludf.dummyfunction("""COMPUTED_VALUE"""),"https://drive.google.com/open?id=1rF-2O92PiCIExI9twx0BNoGAfm_oxlPS, https://drive.google.com/open?id=1szpATcK3Zoa4jHYks6bL-ylcLIg_kBLR")</f>
        <v>https://drive.google.com/open?id=1rF-2O92PiCIExI9twx0BNoGAfm_oxlPS, https://drive.google.com/open?id=1szpATcK3Zoa4jHYks6bL-ylcLIg_kBLR</v>
      </c>
    </row>
    <row r="21" customFormat="false" ht="14.25" hidden="false" customHeight="false" outlineLevel="0" collapsed="false">
      <c r="A21" s="18" t="str">
        <f aca="false">IFERROR(MID(D21,1,FIND("|",D21)-1)&amp;"-"&amp;C21,"")</f>
        <v>SICI201803-6-2-1</v>
      </c>
      <c r="B21" s="19" t="n">
        <f aca="false">IFERROR(__xludf.dummyfunction("""COMPUTED_VALUE"""),43741)</f>
        <v>43741</v>
      </c>
      <c r="C21" s="0" t="n">
        <f aca="false">IFERROR(__xludf.dummyfunction("""COMPUTED_VALUE"""),1)</f>
        <v>1</v>
      </c>
      <c r="D21" s="0" t="str">
        <f aca="false">IFERROR(__xludf.dummyfunction("""COMPUTED_VALUE"""),"SICI201803-6-2| Se notificará al área de Caja Menor la necesidad de la gestión de forma inmediata de los medicamentos y dispositivos. (En menos de 24 horas). - 30/12/1899")</f>
        <v>SICI201803-6-2| Se notificará al área de Caja Menor la necesidad de la gestión de forma inmediata de los medicamentos y dispositivos. (En menos de 24 horas). - 30/12/1899</v>
      </c>
      <c r="E21" s="0" t="str">
        <f aca="false">IFERROR(__xludf.dummyfunction("""COMPUTED_VALUE"""),"Se evidencia solicitud de recursos a caja menor para los faltantes.")</f>
        <v>Se evidencia solicitud de recursos a caja menor para los faltantes.</v>
      </c>
      <c r="F21" s="0" t="str">
        <f aca="false">IFERROR(__xludf.dummyfunction("""COMPUTED_VALUE"""),"Completo")</f>
        <v>Completo</v>
      </c>
      <c r="G21" s="0" t="str">
        <f aca="false">IFERROR(__xludf.dummyfunction("""COMPUTED_VALUE"""),"https://drive.google.com/open?id=1fspOJbdZGxX_W3tyQlUjTFWzNOMrnBeM, https://drive.google.com/open?id=1oQc7NgAktf54l4p8L7QIhVVYqkRuhlcQ")</f>
        <v>https://drive.google.com/open?id=1fspOJbdZGxX_W3tyQlUjTFWzNOMrnBeM, https://drive.google.com/open?id=1oQc7NgAktf54l4p8L7QIhVVYqkRuhlcQ</v>
      </c>
    </row>
    <row r="22" customFormat="false" ht="14.25" hidden="false" customHeight="false" outlineLevel="0" collapsed="false">
      <c r="A22" s="18" t="str">
        <f aca="false">IFERROR(MID(D22,1,FIND("|",D22)-1)&amp;"-"&amp;C22,"")</f>
        <v>SICI201803-7-2-1</v>
      </c>
      <c r="B22" s="19" t="n">
        <f aca="false">IFERROR(__xludf.dummyfunction("""COMPUTED_VALUE"""),43741)</f>
        <v>43741</v>
      </c>
      <c r="C22" s="0" t="n">
        <f aca="false">IFERROR(__xludf.dummyfunction("""COMPUTED_VALUE"""),1)</f>
        <v>1</v>
      </c>
      <c r="D22" s="0" t="str">
        <f aca="false">IFERROR(__xludf.dummyfunction("""COMPUTED_VALUE"""),"SICI201803-7-2| Se solicitará al área de facturación instructivo para el manejo del cobro directo y que no se vea afectado el paciente. - 30/12/1899")</f>
        <v>SICI201803-7-2| Se solicitará al área de facturación instructivo para el manejo del cobro directo y que no se vea afectado el paciente. - 30/12/1899</v>
      </c>
      <c r="E22" s="0" t="str">
        <f aca="false">IFERROR(__xludf.dummyfunction("""COMPUTED_VALUE"""),"No se ha realizado esta actividad.")</f>
        <v>No se ha realizado esta actividad.</v>
      </c>
      <c r="F22" s="0" t="str">
        <f aca="false">IFERROR(__xludf.dummyfunction("""COMPUTED_VALUE"""),"Atrasado")</f>
        <v>Atrasado</v>
      </c>
    </row>
    <row r="23" customFormat="false" ht="14.25" hidden="false" customHeight="false" outlineLevel="0" collapsed="false">
      <c r="A23" s="18" t="str">
        <f aca="false">IFERROR(MID(D23,1,FIND("|",D23)-1)&amp;"-"&amp;C23,"")</f>
        <v>SICI201803-7-1-1</v>
      </c>
      <c r="B23" s="19" t="n">
        <f aca="false">IFERROR(__xludf.dummyfunction("""COMPUTED_VALUE"""),43741)</f>
        <v>43741</v>
      </c>
      <c r="C23" s="0" t="n">
        <f aca="false">IFERROR(__xludf.dummyfunction("""COMPUTED_VALUE"""),1)</f>
        <v>1</v>
      </c>
      <c r="D23" s="0" t="str">
        <f aca="false">IFERROR(__xludf.dummyfunction("""COMPUTED_VALUE"""),"SICI201803-7-1| Se notificará al área de Facturación la problemática referente a la facturación de medicamentos que no son entregados. El proceso adecuado es facturar lo entregado. - 30/04/2019")</f>
        <v>SICI201803-7-1| Se notificará al área de Facturación la problemática referente a la facturación de medicamentos que no son entregados. El proceso adecuado es facturar lo entregado. - 30/04/2019</v>
      </c>
      <c r="E23" s="0" t="str">
        <f aca="false">IFERROR(__xludf.dummyfunction("""COMPUTED_VALUE"""),"No se ha realizado esta actividad.")</f>
        <v>No se ha realizado esta actividad.</v>
      </c>
      <c r="F23" s="0" t="str">
        <f aca="false">IFERROR(__xludf.dummyfunction("""COMPUTED_VALUE"""),"Atrasado")</f>
        <v>Atrasado</v>
      </c>
    </row>
    <row r="24" customFormat="false" ht="14.25" hidden="false" customHeight="false" outlineLevel="0" collapsed="false">
      <c r="A24" s="18" t="str">
        <f aca="false">IFERROR(MID(D24,1,FIND("|",D24)-1)&amp;"-"&amp;C24,"")</f>
        <v>SICI201803-8-1-1</v>
      </c>
      <c r="B24" s="19" t="n">
        <f aca="false">IFERROR(__xludf.dummyfunction("""COMPUTED_VALUE"""),43741)</f>
        <v>43741</v>
      </c>
      <c r="C24" s="0" t="n">
        <f aca="false">IFERROR(__xludf.dummyfunction("""COMPUTED_VALUE"""),1)</f>
        <v>1</v>
      </c>
      <c r="D24" s="0" t="str">
        <f aca="false">IFERROR(__xludf.dummyfunction("""COMPUTED_VALUE"""),"SICI201803-8-1| Se generará instrumento (formato) en el cual se puedan registrar los movimientos generados en cada sede y se refllejen los préstamos con sus respectivos traslados y responsables de dicha actividad. - 01/05/2019")</f>
        <v>SICI201803-8-1| Se generará instrumento (formato) en el cual se puedan registrar los movimientos generados en cada sede y se refllejen los préstamos con sus respectivos traslados y responsables de dicha actividad. - 01/05/2019</v>
      </c>
      <c r="E24" s="0" t="str">
        <f aca="false">IFERROR(__xludf.dummyfunction("""COMPUTED_VALUE"""),"A través del sistema se realiza la requisición entre las farmacias y cuando se hace la entrega físico,  se ejecutan los movimientos en el sistema y se actualizan los saldos.  Adicionalmente se diseñó un instrumento en Google APP (Drive) para controlar los"&amp;" traslados directamente desde trasportes.")</f>
        <v>A través del sistema se realiza la requisición entre las farmacias y cuando se hace la entrega físico,  se ejecutan los movimientos en el sistema y se actualizan los saldos.  Adicionalmente se diseñó un instrumento en Google APP (Drive) para controlar los traslados directamente desde trasportes.</v>
      </c>
      <c r="F24" s="0" t="str">
        <f aca="false">IFERROR(__xludf.dummyfunction("""COMPUTED_VALUE"""),"Completo")</f>
        <v>Completo</v>
      </c>
      <c r="G24" s="0" t="str">
        <f aca="false">IFERROR(__xludf.dummyfunction("""COMPUTED_VALUE"""),"https://drive.google.com/open?id=1qgALenVtSFgu84CYWpSDoRonZ0P9pjsz, https://drive.google.com/open?id=1pFzp1tAIJfk_hFhleAL5WoauI_xDj4OM, https://drive.google.com/open?id=1Ven_IJkDA_iy_nBn7EJhROWQFXfzJvIy, https://drive.google.com/open?id=1fSaL-ELQjEIHfA_uq"&amp;"rNKAA2YzpVqiVf-")</f>
        <v>https://drive.google.com/open?id=1qgALenVtSFgu84CYWpSDoRonZ0P9pjsz, https://drive.google.com/open?id=1pFzp1tAIJfk_hFhleAL5WoauI_xDj4OM, https://drive.google.com/open?id=1Ven_IJkDA_iy_nBn7EJhROWQFXfzJvIy, https://drive.google.com/open?id=1fSaL-ELQjEIHfA_uqrNKAA2YzpVqiVf-</v>
      </c>
    </row>
    <row r="25" customFormat="false" ht="14.25" hidden="false" customHeight="false" outlineLevel="0" collapsed="false">
      <c r="A25" s="18" t="str">
        <f aca="false">IFERROR(MID(D25,1,FIND("|",D25)-1)&amp;"-"&amp;C25,"")</f>
        <v>SICI201803-13-2-1</v>
      </c>
      <c r="B25" s="19" t="n">
        <f aca="false">IFERROR(__xludf.dummyfunction("""COMPUTED_VALUE"""),43741)</f>
        <v>43741</v>
      </c>
      <c r="C25" s="0" t="n">
        <f aca="false">IFERROR(__xludf.dummyfunction("""COMPUTED_VALUE"""),1)</f>
        <v>1</v>
      </c>
      <c r="D25" s="0" t="str">
        <f aca="false">IFERROR(__xludf.dummyfunction("""COMPUTED_VALUE"""),"SICI201803-13-2| El Servicio farmacéutico notificará al área de facturación y/o admisiones cuando se requiera de apertura de cuentas con el fin de realizar el cargue respectivo o informar sobre novedades de pacientes. Así mimo se solicitará a éstas áreas "&amp;"que las cuentas sean abiertas de forma oportuna (menos de 24 horas) - 30/12/1899")</f>
        <v>SICI201803-13-2| El Servicio farmacéutico notificará al área de facturación y/o admisiones cuando se requiera de apertura de cuentas con el fin de realizar el cargue respectivo o informar sobre novedades de pacientes. Así mimo se solicitará a éstas áreas que las cuentas sean abiertas de forma oportuna (menos de 24 horas) - 30/12/1899</v>
      </c>
      <c r="E25" s="0" t="str">
        <f aca="false">IFERROR(__xludf.dummyfunction("""COMPUTED_VALUE"""),"Se realiza la notificaciones pertinentes respecto a los problemas de facturación y admisiones. ")</f>
        <v>Se realiza la notificaciones pertinentes respecto a los problemas de facturación y admisiones. </v>
      </c>
      <c r="F25" s="0" t="str">
        <f aca="false">IFERROR(__xludf.dummyfunction("""COMPUTED_VALUE"""),"Completo")</f>
        <v>Completo</v>
      </c>
      <c r="G25" s="0" t="str">
        <f aca="false">IFERROR(__xludf.dummyfunction("""COMPUTED_VALUE"""),"https://drive.google.com/open?id=1xmR2RsZA5rxHc4jEdxpJ7bGuO5wKmXVv, https://drive.google.com/open?id=1iL17j5BpAmUMAjqF-FFXziptbaxczlca, https://drive.google.com/open?id=1oqufCQkQ_m68W8zISOo-SWV81gD8ikeJ")</f>
        <v>https://drive.google.com/open?id=1xmR2RsZA5rxHc4jEdxpJ7bGuO5wKmXVv, https://drive.google.com/open?id=1iL17j5BpAmUMAjqF-FFXziptbaxczlca, https://drive.google.com/open?id=1oqufCQkQ_m68W8zISOo-SWV81gD8ikeJ</v>
      </c>
    </row>
    <row r="26" customFormat="false" ht="14.25" hidden="false" customHeight="false" outlineLevel="0" collapsed="false">
      <c r="A26" s="18" t="str">
        <f aca="false">IFERROR(MID(D26,1,FIND("|",D26)-1)&amp;"-"&amp;C26,"")</f>
        <v>SICI201803-13-1-1</v>
      </c>
      <c r="B26" s="19" t="n">
        <f aca="false">IFERROR(__xludf.dummyfunction("""COMPUTED_VALUE"""),43741)</f>
        <v>43741</v>
      </c>
      <c r="C26" s="0" t="n">
        <f aca="false">IFERROR(__xludf.dummyfunction("""COMPUTED_VALUE"""),1)</f>
        <v>1</v>
      </c>
      <c r="D26" s="0" t="str">
        <f aca="false">IFERROR(__xludf.dummyfunction("""COMPUTED_VALUE"""),"SICI201803-13-1| El servicio farmacéutico notificará al área de contingencia de facturación las caídas constantes de sistema vía correo electrónico y whatsapp. - 31/05/2019")</f>
        <v>SICI201803-13-1| El servicio farmacéutico notificará al área de contingencia de facturación las caídas constantes de sistema vía correo electrónico y whatsapp. - 31/05/2019</v>
      </c>
      <c r="E26" s="0" t="str">
        <f aca="false">IFERROR(__xludf.dummyfunction("""COMPUTED_VALUE"""),"Se realiza la notificaciones pertinentes respecto a las fallas del software.")</f>
        <v>Se realiza la notificaciones pertinentes respecto a las fallas del software.</v>
      </c>
      <c r="F26" s="0" t="str">
        <f aca="false">IFERROR(__xludf.dummyfunction("""COMPUTED_VALUE"""),"Completo")</f>
        <v>Completo</v>
      </c>
      <c r="G26" s="0" t="str">
        <f aca="false">IFERROR(__xludf.dummyfunction("""COMPUTED_VALUE"""),"https://drive.google.com/open?id=1iaN2WdBJebr8zez_mBKa-tUEnMDKOw-u, https://drive.google.com/open?id=1-ep3ZvWGVJWkFOcsjccS8mCrUxIg7lSL, https://drive.google.com/open?id=1uIXm6uwjWmY_alftkNs8hVfDXUxqFqmL")</f>
        <v>https://drive.google.com/open?id=1iaN2WdBJebr8zez_mBKa-tUEnMDKOw-u, https://drive.google.com/open?id=1-ep3ZvWGVJWkFOcsjccS8mCrUxIg7lSL, https://drive.google.com/open?id=1uIXm6uwjWmY_alftkNs8hVfDXUxqFqmL</v>
      </c>
    </row>
    <row r="27" customFormat="false" ht="14.25" hidden="false" customHeight="false" outlineLevel="0" collapsed="false">
      <c r="A27" s="18" t="str">
        <f aca="false">IFERROR(MID(D27,1,FIND("|",D27)-1)&amp;"-"&amp;C27,"")</f>
        <v>SICI201803-13-4-1</v>
      </c>
      <c r="B27" s="19" t="n">
        <f aca="false">IFERROR(__xludf.dummyfunction("""COMPUTED_VALUE"""),43741)</f>
        <v>43741</v>
      </c>
      <c r="C27" s="0" t="n">
        <f aca="false">IFERROR(__xludf.dummyfunction("""COMPUTED_VALUE"""),1)</f>
        <v>1</v>
      </c>
      <c r="D27" s="0" t="str">
        <f aca="false">IFERROR(__xludf.dummyfunction("""COMPUTED_VALUE"""),"SICI201803-13-4| Se solicitará al área de suministros (almacenes) ajustar el proceso de traslado de medicamentos y/o insumos a la farmacia indicando que es necesario que lo que sea cargado en el sistema por parte de los almacénes debe ser entregado oportu"&amp;"namente a las farmacias para que los saldos físicos coincidan con los saldos en sistema. - 30/12/1899")</f>
        <v>SICI201803-13-4| Se solicitará al área de suministros (almacenes) ajustar el proceso de traslado de medicamentos y/o insumos a la farmacia indicando que es necesario que lo que sea cargado en el sistema por parte de los almacénes debe ser entregado oportunamente a las farmacias para que los saldos físicos coincidan con los saldos en sistema. - 30/12/1899</v>
      </c>
      <c r="E27" s="0" t="str">
        <f aca="false">IFERROR(__xludf.dummyfunction("""COMPUTED_VALUE"""),"Almacén realiza el traslado cuando hace la entrega física.  No obstante, aún se presenta esta situación pero no de manera recurrente.")</f>
        <v>Almacén realiza el traslado cuando hace la entrega física.  No obstante, aún se presenta esta situación pero no de manera recurrente.</v>
      </c>
      <c r="F27" s="0" t="str">
        <f aca="false">IFERROR(__xludf.dummyfunction("""COMPUTED_VALUE"""),"Completo")</f>
        <v>Completo</v>
      </c>
      <c r="G27" s="0" t="str">
        <f aca="false">IFERROR(__xludf.dummyfunction("""COMPUTED_VALUE"""),"https://drive.google.com/open?id=1pg6XPjeMbZ1HFwAiVCUAsogvJFpTc8zA, https://drive.google.com/open?id=1kAXND9XvAvc9WqvOBQvrcCUn3CtlMqow, https://drive.google.com/open?id=1BO0SuyQ9Ur7U0vegdJhZqVXGymQn651J, https://drive.google.com/open?id=1TqUHClIS-TY4VwWls"&amp;"Fow4OSydK3p8yON")</f>
        <v>https://drive.google.com/open?id=1pg6XPjeMbZ1HFwAiVCUAsogvJFpTc8zA, https://drive.google.com/open?id=1kAXND9XvAvc9WqvOBQvrcCUn3CtlMqow, https://drive.google.com/open?id=1BO0SuyQ9Ur7U0vegdJhZqVXGymQn651J, https://drive.google.com/open?id=1TqUHClIS-TY4VwWlsFow4OSydK3p8yON</v>
      </c>
    </row>
    <row r="28" customFormat="false" ht="14.25" hidden="false" customHeight="false" outlineLevel="0" collapsed="false">
      <c r="A28" s="18" t="str">
        <f aca="false">IFERROR(MID(D28,1,FIND("|",D28)-1)&amp;"-"&amp;C28,"")</f>
        <v>SICI201803-13-3-1</v>
      </c>
      <c r="B28" s="19" t="n">
        <f aca="false">IFERROR(__xludf.dummyfunction("""COMPUTED_VALUE"""),43741)</f>
        <v>43741</v>
      </c>
      <c r="C28" s="0" t="n">
        <f aca="false">IFERROR(__xludf.dummyfunction("""COMPUTED_VALUE"""),1)</f>
        <v>1</v>
      </c>
      <c r="D28" s="0" t="str">
        <f aca="false">IFERROR(__xludf.dummyfunction("""COMPUTED_VALUE"""),"SICI201803-13-3| El Servicio farmacéutico notificará al área de suministros (almacenes) acerca de la necesidad de ajustar sus procesos para evitar valores negativos que impidan el cargue en el sistema. - 30/12/1899")</f>
        <v>SICI201803-13-3| El Servicio farmacéutico notificará al área de suministros (almacenes) acerca de la necesidad de ajustar sus procesos para evitar valores negativos que impidan el cargue en el sistema. - 30/12/1899</v>
      </c>
      <c r="E28" s="0" t="str">
        <f aca="false">IFERROR(__xludf.dummyfunction("""COMPUTED_VALUE"""),"Los valores negativos se presentan cuando se realizan cambios en el software ó se actualizan procesos ó actualización de inventarios y ajustes. ")</f>
        <v>Los valores negativos se presentan cuando se realizan cambios en el software ó se actualizan procesos ó actualización de inventarios y ajustes. </v>
      </c>
      <c r="F28" s="0" t="str">
        <f aca="false">IFERROR(__xludf.dummyfunction("""COMPUTED_VALUE"""),"Completo")</f>
        <v>Completo</v>
      </c>
      <c r="G28" s="0" t="str">
        <f aca="false">IFERROR(__xludf.dummyfunction("""COMPUTED_VALUE"""),"https://drive.google.com/open?id=1xGIjAxcXyzNy03_WUDvaUWIWNL1-T2oT, https://drive.google.com/open?id=1ZWHsKUPis9iGgGO_lYABgu63LsH-ADxn")</f>
        <v>https://drive.google.com/open?id=1xGIjAxcXyzNy03_WUDvaUWIWNL1-T2oT, https://drive.google.com/open?id=1ZWHsKUPis9iGgGO_lYABgu63LsH-ADxn</v>
      </c>
    </row>
    <row r="29" customFormat="false" ht="14.25" hidden="false" customHeight="false" outlineLevel="0" collapsed="false">
      <c r="A29" s="18" t="str">
        <f aca="false">IFERROR(MID(D29,1,FIND("|",D29)-1)&amp;"-"&amp;C29,"")</f>
        <v>SICI201803-13-7-1</v>
      </c>
      <c r="B29" s="19" t="n">
        <f aca="false">IFERROR(__xludf.dummyfunction("""COMPUTED_VALUE"""),43741)</f>
        <v>43741</v>
      </c>
      <c r="C29" s="0" t="n">
        <f aca="false">IFERROR(__xludf.dummyfunction("""COMPUTED_VALUE"""),1)</f>
        <v>1</v>
      </c>
      <c r="D29" s="0" t="str">
        <f aca="false">IFERROR(__xludf.dummyfunction("""COMPUTED_VALUE"""),"SICI201803-13-7| Se Solicitará al área de suministros (almacenes) la indicacion para los casos en los cuales se pueda implementar el Concepto 105. - 30/12/1899")</f>
        <v>SICI201803-13-7| Se Solicitará al área de suministros (almacenes) la indicacion para los casos en los cuales se pueda implementar el Concepto 105. - 30/12/1899</v>
      </c>
      <c r="E29" s="0" t="str">
        <f aca="false">IFERROR(__xludf.dummyfunction("""COMPUTED_VALUE"""),"No se ha solicitado la indicación del uso del concepto 105.")</f>
        <v>No se ha solicitado la indicación del uso del concepto 105.</v>
      </c>
      <c r="F29" s="0" t="str">
        <f aca="false">IFERROR(__xludf.dummyfunction("""COMPUTED_VALUE"""),"Atrasado")</f>
        <v>Atrasado</v>
      </c>
    </row>
    <row r="30" customFormat="false" ht="14.25" hidden="false" customHeight="false" outlineLevel="0" collapsed="false">
      <c r="A30" s="18" t="str">
        <f aca="false">IFERROR(MID(D30,1,FIND("|",D30)-1)&amp;"-"&amp;C30,"")</f>
        <v>SICI201803-13-6-1</v>
      </c>
      <c r="B30" s="19" t="n">
        <f aca="false">IFERROR(__xludf.dummyfunction("""COMPUTED_VALUE"""),43741)</f>
        <v>43741</v>
      </c>
      <c r="C30" s="0" t="n">
        <f aca="false">IFERROR(__xludf.dummyfunction("""COMPUTED_VALUE"""),1)</f>
        <v>1</v>
      </c>
      <c r="D30" s="0" t="str">
        <f aca="false">IFERROR(__xludf.dummyfunction("""COMPUTED_VALUE"""),"SICI201803-13-6| Se solicitará al área encargada el recurso humano faltante en cada una de las Unidades de la subred. - 30/12/1899")</f>
        <v>SICI201803-13-6| Se solicitará al área encargada el recurso humano faltante en cada una de las Unidades de la subred. - 30/12/1899</v>
      </c>
      <c r="E30" s="0" t="str">
        <f aca="false">IFERROR(__xludf.dummyfunction("""COMPUTED_VALUE"""),"Se evidencian múltiples solicitudes de requerimiento de personal a través de correo electrónico.  En la actualidad se tiene un faltante de 17 auxiliares faltantes.   ")</f>
        <v>Se evidencian múltiples solicitudes de requerimiento de personal a través de correo electrónico.  En la actualidad se tiene un faltante de 17 auxiliares faltantes.   </v>
      </c>
      <c r="F30" s="0" t="str">
        <f aca="false">IFERROR(__xludf.dummyfunction("""COMPUTED_VALUE"""),"Completo")</f>
        <v>Completo</v>
      </c>
      <c r="G30" s="0" t="str">
        <f aca="false">IFERROR(__xludf.dummyfunction("""COMPUTED_VALUE"""),"https://drive.google.com/open?id=1iwvUULVef7RnBRVVxW3qDTDStlr6KB19, https://drive.google.com/open?id=1c5YIOPi-0Lxqs_tYKFpZ2tpnmzkRmLLQ, https://drive.google.com/open?id=160fVgLmK8Kig-OsBuOkiR8MZyna2bUYb")</f>
        <v>https://drive.google.com/open?id=1iwvUULVef7RnBRVVxW3qDTDStlr6KB19, https://drive.google.com/open?id=1c5YIOPi-0Lxqs_tYKFpZ2tpnmzkRmLLQ, https://drive.google.com/open?id=160fVgLmK8Kig-OsBuOkiR8MZyna2bUYb</v>
      </c>
    </row>
    <row r="31" customFormat="false" ht="14.25" hidden="false" customHeight="false" outlineLevel="0" collapsed="false">
      <c r="A31" s="18" t="str">
        <f aca="false">IFERROR(MID(D31,1,FIND("|",D31)-1)&amp;"-"&amp;C31,"")</f>
        <v>SICI201803-14-1-1</v>
      </c>
      <c r="B31" s="19" t="n">
        <f aca="false">IFERROR(__xludf.dummyfunction("""COMPUTED_VALUE"""),43741)</f>
        <v>43741</v>
      </c>
      <c r="C31" s="0" t="n">
        <f aca="false">IFERROR(__xludf.dummyfunction("""COMPUTED_VALUE"""),1)</f>
        <v>1</v>
      </c>
      <c r="D31" s="0" t="str">
        <f aca="false">IFERROR(__xludf.dummyfunction("""COMPUTED_VALUE"""),"SICI201803-14-1| Se generará una lista de chequeo para verificar periodicamente (cada 4 meses): a) el cumplimiento de la calibracion y/o mantenimiento de los instrumentos de medicion encontrados en el servicio farmaceutico, b) señalizacion adecuada de la "&amp;"areas de la farmacia y rutas de evacuación. - 31/05/2019")</f>
        <v>SICI201803-14-1| Se generará una lista de chequeo para verificar periodicamente (cada 4 meses): a) el cumplimiento de la calibracion y/o mantenimiento de los instrumentos de medicion encontrados en el servicio farmaceutico, b) señalizacion adecuada de la areas de la farmacia y rutas de evacuación. - 31/05/2019</v>
      </c>
      <c r="E31" s="0" t="str">
        <f aca="false">IFERROR(__xludf.dummyfunction("""COMPUTED_VALUE"""),"Se diseñó un instrumento para la verificación de condiciones locativos.  Sin embargo el instrumento no ha sido normalizado y aún no se está aplicando.")</f>
        <v>Se diseñó un instrumento para la verificación de condiciones locativos.  Sin embargo el instrumento no ha sido normalizado y aún no se está aplicando.</v>
      </c>
      <c r="F31" s="0" t="str">
        <f aca="false">IFERROR(__xludf.dummyfunction("""COMPUTED_VALUE"""),"Atrasado")</f>
        <v>Atrasado</v>
      </c>
      <c r="G31" s="20" t="str">
        <f aca="false">IFERROR(__xludf.dummyfunction("""COMPUTED_VALUE"""),"https://drive.google.com/open?id=1qNtp2x_453_09oqmZ_w7K2LRq7py1zFf")</f>
        <v>https://drive.google.com/open?id=1qNtp2x_453_09oqmZ_w7K2LRq7py1zFf</v>
      </c>
    </row>
    <row r="32" customFormat="false" ht="14.25" hidden="false" customHeight="false" outlineLevel="0" collapsed="false">
      <c r="A32" s="18" t="str">
        <f aca="false">IFERROR(MID(D32,1,FIND("|",D32)-1)&amp;"-"&amp;C32,"")</f>
        <v>SICI201803-13-5-1</v>
      </c>
      <c r="B32" s="19" t="n">
        <f aca="false">IFERROR(__xludf.dummyfunction("""COMPUTED_VALUE"""),43741)</f>
        <v>43741</v>
      </c>
      <c r="C32" s="0" t="n">
        <f aca="false">IFERROR(__xludf.dummyfunction("""COMPUTED_VALUE"""),1)</f>
        <v>1</v>
      </c>
      <c r="D32" s="0" t="str">
        <f aca="false">IFERROR(__xludf.dummyfunction("""COMPUTED_VALUE"""),"SICI201803-13-5| Se notificará al personal asistencial que el servicio farmacéutico no entregará medicamentos y/o insumos sin que se allegue la respectiva prescripción médica en cumplimiento con la normatividad vigente a menos que previamente se haya agot"&amp;"ado la opción del uso del carro de paro y que se trate de un medicamento o insumo para tratar un caso de urgencia vital. Lo anterior de acuerdo a decisión tomada en Comité de Farmacia y Terapéutica de Enero de 2019. - 30/12/1899")</f>
        <v>SICI201803-13-5| Se notificará al personal asistencial que el servicio farmacéutico no entregará medicamentos y/o insumos sin que se allegue la respectiva prescripción médica en cumplimiento con la normatividad vigente a menos que previamente se haya agotado la opción del uso del carro de paro y que se trate de un medicamento o insumo para tratar un caso de urgencia vital. Lo anterior de acuerdo a decisión tomada en Comité de Farmacia y Terapéutica de Enero de 2019. - 30/12/1899</v>
      </c>
      <c r="E32" s="0" t="str">
        <f aca="false">IFERROR(__xludf.dummyfunction("""COMPUTED_VALUE"""),"No se cuenta con el comunicado.")</f>
        <v>No se cuenta con el comunicado.</v>
      </c>
      <c r="F32" s="0" t="str">
        <f aca="false">IFERROR(__xludf.dummyfunction("""COMPUTED_VALUE"""),"Atrasado")</f>
        <v>Atrasado</v>
      </c>
    </row>
    <row r="33" customFormat="false" ht="14.25" hidden="false" customHeight="false" outlineLevel="0" collapsed="false">
      <c r="A33" s="18" t="str">
        <f aca="false">IFERROR(MID(D33,1,FIND("|",D33)-1)&amp;"-"&amp;C33,"")</f>
        <v>SICI201803-15-1-1</v>
      </c>
      <c r="B33" s="19" t="n">
        <f aca="false">IFERROR(__xludf.dummyfunction("""COMPUTED_VALUE"""),43741)</f>
        <v>43741</v>
      </c>
      <c r="C33" s="0" t="n">
        <f aca="false">IFERROR(__xludf.dummyfunction("""COMPUTED_VALUE"""),1)</f>
        <v>1</v>
      </c>
      <c r="D33" s="0" t="str">
        <f aca="false">IFERROR(__xludf.dummyfunction("""COMPUTED_VALUE"""),"SICI201803-15-1| Se actualizarán instrutivos de control de fechas de vencimientos y manejo de carro de paro y equipo de reanimacion; estandarizando el proceso de semaforización de acuerdo al manual de buenas practicas de almacenamiento de la subred. - 31/"&amp;"08/2019")</f>
        <v>SICI201803-15-1| Se actualizarán instrutivos de control de fechas de vencimientos y manejo de carro de paro y equipo de reanimacion; estandarizando el proceso de semaforización de acuerdo al manual de buenas practicas de almacenamiento de la subred. - 31/08/2019</v>
      </c>
      <c r="E33" s="0" t="str">
        <f aca="false">IFERROR(__xludf.dummyfunction("""COMPUTED_VALUE"""),"El instructivo se encuentra en revisión y actualización, teniendo en cuenta las observaciones de la visita de habilitación.")</f>
        <v>El instructivo se encuentra en revisión y actualización, teniendo en cuenta las observaciones de la visita de habilitación.</v>
      </c>
      <c r="F33" s="0" t="str">
        <f aca="false">IFERROR(__xludf.dummyfunction("""COMPUTED_VALUE"""),"Atrasado")</f>
        <v>Atrasado</v>
      </c>
    </row>
    <row r="34" customFormat="false" ht="14.25" hidden="false" customHeight="false" outlineLevel="0" collapsed="false">
      <c r="A34" s="18" t="str">
        <f aca="false">IFERROR(MID(D34,1,FIND("|",D34)-1)&amp;"-"&amp;C34,"")</f>
        <v>SICI201803-15-2-1</v>
      </c>
      <c r="B34" s="19" t="n">
        <f aca="false">IFERROR(__xludf.dummyfunction("""COMPUTED_VALUE"""),43741)</f>
        <v>43741</v>
      </c>
      <c r="C34" s="0" t="n">
        <f aca="false">IFERROR(__xludf.dummyfunction("""COMPUTED_VALUE"""),1)</f>
        <v>1</v>
      </c>
      <c r="D34" s="0" t="str">
        <f aca="false">IFERROR(__xludf.dummyfunction("""COMPUTED_VALUE"""),"SICI201803-15-2| Se señalizará un área específica para ubicar los medicamentos y/o dispositivos medicos vencidos en dónde los mismos se almacenarán en una bolsa roja rotulada como ""RESIDUOS QUIMICOS"" mientras se realiza el respectivo comité de inventari"&amp;"os para la disposición final de los mismos por parte de gestión ambiental. - 30/12/1899")</f>
        <v>SICI201803-15-2| Se señalizará un área específica para ubicar los medicamentos y/o dispositivos medicos vencidos en dónde los mismos se almacenarán en una bolsa roja rotulada como "RESIDUOS QUIMICOS" mientras se realiza el respectivo comité de inventarios para la disposición final de los mismos por parte de gestión ambiental. - 30/12/1899</v>
      </c>
      <c r="E34" s="0" t="str">
        <f aca="false">IFERROR(__xludf.dummyfunction("""COMPUTED_VALUE"""),"Se evidencia rotulación del área y de la bolsa roja con residuos químicos, además en algunos servicios se establece un área de cuarentena.")</f>
        <v>Se evidencia rotulación del área y de la bolsa roja con residuos químicos, además en algunos servicios se establece un área de cuarentena.</v>
      </c>
      <c r="F34" s="0" t="str">
        <f aca="false">IFERROR(__xludf.dummyfunction("""COMPUTED_VALUE"""),"Completo")</f>
        <v>Completo</v>
      </c>
      <c r="G34" s="20" t="str">
        <f aca="false">IFERROR(__xludf.dummyfunction("""COMPUTED_VALUE"""),"https://drive.google.com/open?id=1sTNEq2nAqDAwAwNlt9lkCJgVM5XtKcWt")</f>
        <v>https://drive.google.com/open?id=1sTNEq2nAqDAwAwNlt9lkCJgVM5XtKcWt</v>
      </c>
    </row>
    <row r="35" customFormat="false" ht="14.25" hidden="false" customHeight="false" outlineLevel="0" collapsed="false">
      <c r="A35" s="18" t="str">
        <f aca="false">IFERROR(MID(D35,1,FIND("|",D35)-1)&amp;"-"&amp;C35,"")</f>
        <v>SICI201803-15-3-1</v>
      </c>
      <c r="B35" s="19" t="n">
        <f aca="false">IFERROR(__xludf.dummyfunction("""COMPUTED_VALUE"""),43741)</f>
        <v>43741</v>
      </c>
      <c r="C35" s="0" t="n">
        <f aca="false">IFERROR(__xludf.dummyfunction("""COMPUTED_VALUE"""),1)</f>
        <v>1</v>
      </c>
      <c r="D35" s="0" t="str">
        <f aca="false">IFERROR(__xludf.dummyfunction("""COMPUTED_VALUE"""),"SICI201803-15-3| Se implementará instrumento mediante el cual el personal asistencial relacionará los medicamentos y/o insumos que requieran devolver al servicio farmacéutico por novedades como: próximos a vencer de carros de paro, sobrantes, entre otros."&amp;" - 30/12/1899")</f>
        <v>SICI201803-15-3| Se implementará instrumento mediante el cual el personal asistencial relacionará los medicamentos y/o insumos que requieran devolver al servicio farmacéutico por novedades como: próximos a vencer de carros de paro, sobrantes, entre otros. - 30/12/1899</v>
      </c>
      <c r="E35" s="0" t="str">
        <f aca="false">IFERROR(__xludf.dummyfunction("""COMPUTED_VALUE"""),"Se evidencia instrumento de cambio de medicamentos en carro de paro.")</f>
        <v>Se evidencia instrumento de cambio de medicamentos en carro de paro.</v>
      </c>
      <c r="F35" s="0" t="str">
        <f aca="false">IFERROR(__xludf.dummyfunction("""COMPUTED_VALUE"""),"Completo")</f>
        <v>Completo</v>
      </c>
      <c r="G35" s="0" t="str">
        <f aca="false">IFERROR(__xludf.dummyfunction("""COMPUTED_VALUE"""),"https://drive.google.com/open?id=1nCfkD0IVaKwWkU8JSstUAILpbPHOQGFC, https://drive.google.com/open?id=18E2Ml1UEunl-k89lD-Buztn11mJQ2A7_, https://drive.google.com/open?id=1YcCWx20yfxG9eMroQtgZC8cRhiIvilpD")</f>
        <v>https://drive.google.com/open?id=1nCfkD0IVaKwWkU8JSstUAILpbPHOQGFC, https://drive.google.com/open?id=18E2Ml1UEunl-k89lD-Buztn11mJQ2A7_, https://drive.google.com/open?id=1YcCWx20yfxG9eMroQtgZC8cRhiIvilpD</v>
      </c>
    </row>
    <row r="36" customFormat="false" ht="14.25" hidden="false" customHeight="false" outlineLevel="0" collapsed="false">
      <c r="A36" s="18" t="str">
        <f aca="false">IFERROR(MID(D36,1,FIND("|",D36)-1)&amp;"-"&amp;C36,"")</f>
        <v>SICI201803-15-4-1</v>
      </c>
      <c r="B36" s="19" t="n">
        <f aca="false">IFERROR(__xludf.dummyfunction("""COMPUTED_VALUE"""),43741)</f>
        <v>43741</v>
      </c>
      <c r="C36" s="0" t="n">
        <f aca="false">IFERROR(__xludf.dummyfunction("""COMPUTED_VALUE"""),1)</f>
        <v>1</v>
      </c>
      <c r="D36" s="0" t="str">
        <f aca="false">IFERROR(__xludf.dummyfunction("""COMPUTED_VALUE"""),"SICI201803-15-4| Se solicitará al área de suministros (almacenes) los sticker de color rojo necesarios para la semaforización (FV inferior a 6 meses). - 30/12/1899")</f>
        <v>SICI201803-15-4| Se solicitará al área de suministros (almacenes) los sticker de color rojo necesarios para la semaforización (FV inferior a 6 meses). - 30/12/1899</v>
      </c>
      <c r="E36" s="0" t="str">
        <f aca="false">IFERROR(__xludf.dummyfunction("""COMPUTED_VALUE"""),"El servicio farmacéutico realiza pedido de sticker para la semaforización.  La lider informa que no son entregados y se toma como medida comprar papel contac rojo para la dicha semaforización. ")</f>
        <v>El servicio farmacéutico realiza pedido de sticker para la semaforización.  La lider informa que no son entregados y se toma como medida comprar papel contac rojo para la dicha semaforización. </v>
      </c>
      <c r="F36" s="0" t="str">
        <f aca="false">IFERROR(__xludf.dummyfunction("""COMPUTED_VALUE"""),"Completo")</f>
        <v>Completo</v>
      </c>
      <c r="G36" s="20" t="str">
        <f aca="false">IFERROR(__xludf.dummyfunction("""COMPUTED_VALUE"""),"https://drive.google.com/open?id=1-i1LzQiNZpfjdu-Hmkrp3YaQtoMYVVL_")</f>
        <v>https://drive.google.com/open?id=1-i1LzQiNZpfjdu-Hmkrp3YaQtoMYVVL_</v>
      </c>
    </row>
    <row r="37" customFormat="false" ht="14.25" hidden="false" customHeight="false" outlineLevel="0" collapsed="false">
      <c r="A37" s="18" t="str">
        <f aca="false">IFERROR(MID(D37,1,FIND("|",D37)-1)&amp;"-"&amp;C37,"")</f>
        <v>SICI201803-15-5-1</v>
      </c>
      <c r="B37" s="19" t="n">
        <f aca="false">IFERROR(__xludf.dummyfunction("""COMPUTED_VALUE"""),43741)</f>
        <v>43741</v>
      </c>
      <c r="C37" s="0" t="n">
        <f aca="false">IFERROR(__xludf.dummyfunction("""COMPUTED_VALUE"""),1)</f>
        <v>1</v>
      </c>
      <c r="D37" s="0" t="str">
        <f aca="false">IFERROR(__xludf.dummyfunction("""COMPUTED_VALUE"""),"SICI201803-15-5| Se generará una lista de chequeo para verificar periodicamente (cada 4 meses) el cumplimiento de la calibración de los termohigrómetros y registros actualizados de temperatura y humedad. - 30/12/1899")</f>
        <v>SICI201803-15-5| Se generará una lista de chequeo para verificar periodicamente (cada 4 meses) el cumplimiento de la calibración de los termohigrómetros y registros actualizados de temperatura y humedad. - 30/12/1899</v>
      </c>
      <c r="E37" s="0" t="str">
        <f aca="false">IFERROR(__xludf.dummyfunction("""COMPUTED_VALUE"""),"Se realizó un instrumento para la verificación de la parte física del servicio de farmacia, incluido la calibración de termohigrometros. pero no se encuentra normalizado por el área de Calidad.")</f>
        <v>Se realizó un instrumento para la verificación de la parte física del servicio de farmacia, incluido la calibración de termohigrometros. pero no se encuentra normalizado por el área de Calidad.</v>
      </c>
      <c r="F37" s="0" t="str">
        <f aca="false">IFERROR(__xludf.dummyfunction("""COMPUTED_VALUE"""),"En desarrollo")</f>
        <v>En desarrollo</v>
      </c>
      <c r="G37" s="20" t="str">
        <f aca="false">IFERROR(__xludf.dummyfunction("""COMPUTED_VALUE"""),"https://drive.google.com/open?id=1zoWjosWlOxLdAPKFnsgeUFQ8PaGZAGmL")</f>
        <v>https://drive.google.com/open?id=1zoWjosWlOxLdAPKFnsgeUFQ8PaGZAGmL</v>
      </c>
    </row>
    <row r="38" customFormat="false" ht="14.25" hidden="false" customHeight="false" outlineLevel="0" collapsed="false">
      <c r="A38" s="18" t="str">
        <f aca="false">IFERROR(MID(D38,1,FIND("|",D38)-1)&amp;"-"&amp;C38,"")</f>
        <v>SICI201803-16-1-1</v>
      </c>
      <c r="B38" s="19" t="n">
        <f aca="false">IFERROR(__xludf.dummyfunction("""COMPUTED_VALUE"""),43741)</f>
        <v>43741</v>
      </c>
      <c r="C38" s="0" t="n">
        <f aca="false">IFERROR(__xludf.dummyfunction("""COMPUTED_VALUE"""),1)</f>
        <v>1</v>
      </c>
      <c r="D38" s="0" t="str">
        <f aca="false">IFERROR(__xludf.dummyfunction("""COMPUTED_VALUE"""),"SICI201803-16-1| Se generará una lista de chequeo para verificar periodicamente (cada 4 meses) el cumplimiento de la calibración de los termohigrómetros. - 30/06/2019")</f>
        <v>SICI201803-16-1| Se generará una lista de chequeo para verificar periodicamente (cada 4 meses) el cumplimiento de la calibración de los termohigrómetros. - 30/06/2019</v>
      </c>
      <c r="E38" s="0" t="str">
        <f aca="false">IFERROR(__xludf.dummyfunction("""COMPUTED_VALUE"""),"Se realizó un instrumento para la verificación de la parte física del servicio de farmacia, incluido la calibración de termohigrometros. pero no ha sido normalizado por el área de calidad.")</f>
        <v>Se realizó un instrumento para la verificación de la parte física del servicio de farmacia, incluido la calibración de termohigrometros. pero no ha sido normalizado por el área de calidad.</v>
      </c>
      <c r="F38" s="0" t="str">
        <f aca="false">IFERROR(__xludf.dummyfunction("""COMPUTED_VALUE"""),"En desarrollo")</f>
        <v>En desarrollo</v>
      </c>
      <c r="G38" s="20" t="str">
        <f aca="false">IFERROR(__xludf.dummyfunction("""COMPUTED_VALUE"""),"https://drive.google.com/open?id=1gBtF3nKChbFPEBgiErKzHDqFe3CJE4Th")</f>
        <v>https://drive.google.com/open?id=1gBtF3nKChbFPEBgiErKzHDqFe3CJE4Th</v>
      </c>
    </row>
    <row r="39" customFormat="false" ht="14.25" hidden="false" customHeight="false" outlineLevel="0" collapsed="false">
      <c r="A39" s="18" t="str">
        <f aca="false">IFERROR(MID(D39,1,FIND("|",D39)-1)&amp;"-"&amp;C39,"")</f>
        <v>SICI201803-16-2-1</v>
      </c>
      <c r="B39" s="19" t="n">
        <f aca="false">IFERROR(__xludf.dummyfunction("""COMPUTED_VALUE"""),43741)</f>
        <v>43741</v>
      </c>
      <c r="C39" s="0" t="n">
        <f aca="false">IFERROR(__xludf.dummyfunction("""COMPUTED_VALUE"""),1)</f>
        <v>1</v>
      </c>
      <c r="D39" s="0" t="str">
        <f aca="false">IFERROR(__xludf.dummyfunction("""COMPUTED_VALUE"""),"SICI201803-16-2| Se socializará al personal del Servicio Farmaceutico el cronograma actualizado de aseo y desinfeccion en las áreas de la farmacia se realizará seguimiento del cumplimiento del mismo (periodicidad :tramos:semanal,neveras: mensual). - 30/12"&amp;"/1899")</f>
        <v>SICI201803-16-2| Se socializará al personal del Servicio Farmaceutico el cronograma actualizado de aseo y desinfeccion en las áreas de la farmacia se realizará seguimiento del cumplimiento del mismo (periodicidad :tramos:semanal,neveras: mensual). - 30/12/1899</v>
      </c>
      <c r="E39" s="0" t="str">
        <f aca="false">IFERROR(__xludf.dummyfunction("""COMPUTED_VALUE"""),"Se evidencia cronograma de aseo y desinfección.")</f>
        <v>Se evidencia cronograma de aseo y desinfección.</v>
      </c>
      <c r="F39" s="0" t="str">
        <f aca="false">IFERROR(__xludf.dummyfunction("""COMPUTED_VALUE"""),"Completo")</f>
        <v>Completo</v>
      </c>
      <c r="G39" s="0" t="str">
        <f aca="false">IFERROR(__xludf.dummyfunction("""COMPUTED_VALUE"""),"https://drive.google.com/open?id=1L_dfg6WNYhUCJ0vF4yaeMQ1ZOI7eC44q, https://drive.google.com/open?id=1MWpdmrr1lqT9asqnoo6Vw2kwiNaP_3JY, https://drive.google.com/open?id=1e09x7t4gLBUDjbWCZqmvko4VY3PiRPfR")</f>
        <v>https://drive.google.com/open?id=1L_dfg6WNYhUCJ0vF4yaeMQ1ZOI7eC44q, https://drive.google.com/open?id=1MWpdmrr1lqT9asqnoo6Vw2kwiNaP_3JY, https://drive.google.com/open?id=1e09x7t4gLBUDjbWCZqmvko4VY3PiRPfR</v>
      </c>
    </row>
    <row r="40" customFormat="false" ht="14.25" hidden="false" customHeight="false" outlineLevel="0" collapsed="false">
      <c r="A40" s="18" t="str">
        <f aca="false">IFERROR(MID(D40,1,FIND("|",D40)-1)&amp;"-"&amp;C40,"")</f>
        <v>SICI201803-16-3-1</v>
      </c>
      <c r="B40" s="19" t="n">
        <f aca="false">IFERROR(__xludf.dummyfunction("""COMPUTED_VALUE"""),43741)</f>
        <v>43741</v>
      </c>
      <c r="C40" s="0" t="n">
        <f aca="false">IFERROR(__xludf.dummyfunction("""COMPUTED_VALUE"""),1)</f>
        <v>1</v>
      </c>
      <c r="D40" s="0" t="str">
        <f aca="false">IFERROR(__xludf.dummyfunction("""COMPUTED_VALUE"""),"SICI201803-16-3| Se socializará el plan de gestión integral de residuos hospitalarios (AP-AT-O-01-03) y se realizará segumiento de su cumplimiento. - 30/12/1899")</f>
        <v>SICI201803-16-3| Se socializará el plan de gestión integral de residuos hospitalarios (AP-AT-O-01-03) y se realizará segumiento de su cumplimiento. - 30/12/1899</v>
      </c>
      <c r="E40" s="0" t="str">
        <f aca="false">IFERROR(__xludf.dummyfunction("""COMPUTED_VALUE"""),"No se evidencia la socialización del plan de gestión integral de residuos hospitalarios.")</f>
        <v>No se evidencia la socialización del plan de gestión integral de residuos hospitalarios.</v>
      </c>
      <c r="F40" s="0" t="str">
        <f aca="false">IFERROR(__xludf.dummyfunction("""COMPUTED_VALUE"""),"Atrasado")</f>
        <v>Atrasado</v>
      </c>
    </row>
    <row r="41" customFormat="false" ht="14.25" hidden="false" customHeight="false" outlineLevel="0" collapsed="false">
      <c r="A41" s="18" t="str">
        <f aca="false">IFERROR(MID(D41,1,FIND("|",D41)-1)&amp;"-"&amp;C41,"")</f>
        <v>SICI201803-17-2-1</v>
      </c>
      <c r="B41" s="19" t="n">
        <f aca="false">IFERROR(__xludf.dummyfunction("""COMPUTED_VALUE"""),43741)</f>
        <v>43741</v>
      </c>
      <c r="C41" s="0" t="n">
        <f aca="false">IFERROR(__xludf.dummyfunction("""COMPUTED_VALUE"""),1)</f>
        <v>1</v>
      </c>
      <c r="D41" s="0" t="str">
        <f aca="false">IFERROR(__xludf.dummyfunction("""COMPUTED_VALUE"""),"SICI201803-17-2| Se generará una lista de chequeo para verificar periodicamente (cada 4 meses): a) el cumplimiento de la calibracion y/o mantenimiento de los instrumentos de medición encontrados en el servicio farmacéutico, b) Señalización adecuada de la "&amp;"áreas de la farmacia y rutas de evacuación. c) Existencia y estado de extintores - 30/12/1899")</f>
        <v>SICI201803-17-2| Se generará una lista de chequeo para verificar periodicamente (cada 4 meses): a) el cumplimiento de la calibracion y/o mantenimiento de los instrumentos de medición encontrados en el servicio farmacéutico, b) Señalización adecuada de la áreas de la farmacia y rutas de evacuación. c) Existencia y estado de extintores - 30/12/1899</v>
      </c>
      <c r="E41" s="0" t="str">
        <f aca="false">IFERROR(__xludf.dummyfunction("""COMPUTED_VALUE"""),"Se realizó un instrumento para la verificación de la parte física del servicio farmacéutico.  Sin embargo, aún no ha sido implementado.")</f>
        <v>Se realizó un instrumento para la verificación de la parte física del servicio farmacéutico.  Sin embargo, aún no ha sido implementado.</v>
      </c>
      <c r="F41" s="0" t="str">
        <f aca="false">IFERROR(__xludf.dummyfunction("""COMPUTED_VALUE"""),"En desarrollo")</f>
        <v>En desarrollo</v>
      </c>
      <c r="G41" s="20" t="str">
        <f aca="false">IFERROR(__xludf.dummyfunction("""COMPUTED_VALUE"""),"https://drive.google.com/open?id=1-twJn8m6j3IqEAMlDaKN_-sNOkuEJQHT")</f>
        <v>https://drive.google.com/open?id=1-twJn8m6j3IqEAMlDaKN_-sNOkuEJQHT</v>
      </c>
    </row>
    <row r="42" customFormat="false" ht="14.25" hidden="false" customHeight="false" outlineLevel="0" collapsed="false">
      <c r="A42" s="18" t="str">
        <f aca="false">IFERROR(MID(D42,1,FIND("|",D42)-1)&amp;"-"&amp;C42,"")</f>
        <v>SICI201803-17-1-1</v>
      </c>
      <c r="B42" s="19" t="n">
        <f aca="false">IFERROR(__xludf.dummyfunction("""COMPUTED_VALUE"""),43741)</f>
        <v>43741</v>
      </c>
      <c r="C42" s="0" t="n">
        <f aca="false">IFERROR(__xludf.dummyfunction("""COMPUTED_VALUE"""),1)</f>
        <v>1</v>
      </c>
      <c r="D42" s="0" t="str">
        <f aca="false">IFERROR(__xludf.dummyfunction("""COMPUTED_VALUE"""),"SICI201803-17-1| Se notificarán al área de subgerencia administrativa los requerimientos relacionados con infraestructura, mobiliario, estibas y otros elementos importantes para el funcionamiento del servicio farmacéutico y el respectivo cumplimiento de l"&amp;"a normatividad vigente (Resolución 1402 de 2007, Resolución 2003 de 2014). - 31/05/2019")</f>
        <v>SICI201803-17-1| Se notificarán al área de subgerencia administrativa los requerimientos relacionados con infraestructura, mobiliario, estibas y otros elementos importantes para el funcionamiento del servicio farmacéutico y el respectivo cumplimiento de la normatividad vigente (Resolución 1402 de 2007, Resolución 2003 de 2014). - 31/05/2019</v>
      </c>
      <c r="E42" s="0" t="str">
        <f aca="false">IFERROR(__xludf.dummyfunction("""COMPUTED_VALUE"""),"El servicio farmacéutico ha realizado los requerimientos de infraestructura.  Está  pendiente verificar almacenes.")</f>
        <v>El servicio farmacéutico ha realizado los requerimientos de infraestructura.  Está  pendiente verificar almacenes.</v>
      </c>
      <c r="F42" s="0" t="str">
        <f aca="false">IFERROR(__xludf.dummyfunction("""COMPUTED_VALUE"""),"En desarrollo")</f>
        <v>En desarrollo</v>
      </c>
      <c r="G42" s="20" t="str">
        <f aca="false">IFERROR(__xludf.dummyfunction("""COMPUTED_VALUE"""),"https://drive.google.com/open?id=1o8L0iv9Ga9FzGHD2zkmDIFU2KVmokQNy")</f>
        <v>https://drive.google.com/open?id=1o8L0iv9Ga9FzGHD2zkmDIFU2KVmokQNy</v>
      </c>
    </row>
    <row r="43" customFormat="false" ht="14.25" hidden="false" customHeight="false" outlineLevel="0" collapsed="false">
      <c r="A43" s="18" t="str">
        <f aca="false">IFERROR(MID(D43,1,FIND("|",D43)-1)&amp;"-"&amp;C43,"")</f>
        <v>SICI201803-18-1-1</v>
      </c>
      <c r="B43" s="19" t="n">
        <f aca="false">IFERROR(__xludf.dummyfunction("""COMPUTED_VALUE"""),43741)</f>
        <v>43741</v>
      </c>
      <c r="C43" s="0" t="n">
        <f aca="false">IFERROR(__xludf.dummyfunction("""COMPUTED_VALUE"""),1)</f>
        <v>1</v>
      </c>
      <c r="D43" s="0" t="str">
        <f aca="false">IFERROR(__xludf.dummyfunction("""COMPUTED_VALUE"""),"SICI201803-18-1| Se realizará e implementará instrumento para la recepción de medicamentos y dispositivos medicos por parte del Servicio Farmaceutico. - 30/0/2019")</f>
        <v>SICI201803-18-1| Se realizará e implementará instrumento para la recepción de medicamentos y dispositivos medicos por parte del Servicio Farmaceutico. - 30/0/2019</v>
      </c>
      <c r="E43" s="0" t="str">
        <f aca="false">IFERROR(__xludf.dummyfunction("""COMPUTED_VALUE"""),"Se evidencia implementación instrumento para la recepción técnica de medicamentos y dispositivos médicos")</f>
        <v>Se evidencia implementación instrumento para la recepción técnica de medicamentos y dispositivos médicos</v>
      </c>
      <c r="F43" s="0" t="str">
        <f aca="false">IFERROR(__xludf.dummyfunction("""COMPUTED_VALUE"""),"Completo")</f>
        <v>Completo</v>
      </c>
      <c r="G43" s="0" t="str">
        <f aca="false">IFERROR(__xludf.dummyfunction("""COMPUTED_VALUE"""),"https://drive.google.com/open?id=1ARPGWIyhbbjsp9I3KqjYdfzHPQaHAhRx, https://drive.google.com/open?id=1i9bTkzjbORrwSxtc3x5GZ9ShU1-_NQGr, https://drive.google.com/open?id=1M6Dc70qOj_GXptHmwePtyBQyEVq1oz1s, https://drive.google.com/open?id=1JjeIi1FOwAxrPqihD"&amp;"W_jsNdbJzfOExPb")</f>
        <v>https://drive.google.com/open?id=1ARPGWIyhbbjsp9I3KqjYdfzHPQaHAhRx, https://drive.google.com/open?id=1i9bTkzjbORrwSxtc3x5GZ9ShU1-_NQGr, https://drive.google.com/open?id=1M6Dc70qOj_GXptHmwePtyBQyEVq1oz1s, https://drive.google.com/open?id=1JjeIi1FOwAxrPqihDW_jsNdbJzfOExPb</v>
      </c>
    </row>
    <row r="44" customFormat="false" ht="14.25" hidden="false" customHeight="false" outlineLevel="0" collapsed="false">
      <c r="A44" s="18" t="str">
        <f aca="false">IFERROR(MID(D44,1,FIND("|",D44)-1)&amp;"-"&amp;C44,"")</f>
        <v>SICI201803-18-2-1</v>
      </c>
      <c r="B44" s="19" t="n">
        <f aca="false">IFERROR(__xludf.dummyfunction("""COMPUTED_VALUE"""),43741)</f>
        <v>43741</v>
      </c>
      <c r="C44" s="0" t="n">
        <f aca="false">IFERROR(__xludf.dummyfunction("""COMPUTED_VALUE"""),1)</f>
        <v>1</v>
      </c>
      <c r="D44" s="0" t="str">
        <f aca="false">IFERROR(__xludf.dummyfunction("""COMPUTED_VALUE"""),"SICI201803-18-2| Se socializará con el personal del Servicio Farmaceutico el instrumento de recepción de medicamentos y dispositivos medicos - 30/12/1899")</f>
        <v>SICI201803-18-2| Se socializará con el personal del Servicio Farmaceutico el instrumento de recepción de medicamentos y dispositivos medicos - 30/12/1899</v>
      </c>
      <c r="E44" s="0" t="str">
        <f aca="false">IFERROR(__xludf.dummyfunction("""COMPUTED_VALUE"""),"Se evidencia socialización del instrumento de recepción técnica de medicamentos y dispositivos médicos.   ")</f>
        <v>Se evidencia socialización del instrumento de recepción técnica de medicamentos y dispositivos médicos.   </v>
      </c>
      <c r="F44" s="0" t="str">
        <f aca="false">IFERROR(__xludf.dummyfunction("""COMPUTED_VALUE"""),"Completo")</f>
        <v>Completo</v>
      </c>
      <c r="G44" s="0" t="str">
        <f aca="false">IFERROR(__xludf.dummyfunction("""COMPUTED_VALUE"""),"https://drive.google.com/open?id=1zMrI0WfSCwbJJ_5lGisI2bZ6ohzWeQ8O, https://drive.google.com/open?id=1n-keRN5On0yxWi-NUehAvx57GGzSIA4N, https://drive.google.com/open?id=1ygXhj2ebABXz2Tal6TD_nGpXXHpB1Lx5")</f>
        <v>https://drive.google.com/open?id=1zMrI0WfSCwbJJ_5lGisI2bZ6ohzWeQ8O, https://drive.google.com/open?id=1n-keRN5On0yxWi-NUehAvx57GGzSIA4N, https://drive.google.com/open?id=1ygXhj2ebABXz2Tal6TD_nGpXXHpB1Lx5</v>
      </c>
    </row>
    <row r="45" customFormat="false" ht="14.25" hidden="false" customHeight="false" outlineLevel="0" collapsed="false">
      <c r="A45" s="18" t="str">
        <f aca="false">IFERROR(MID(D45,1,FIND("|",D45)-1)&amp;"-"&amp;C45,"")</f>
        <v>SICI201803-18-3-1</v>
      </c>
      <c r="B45" s="19" t="n">
        <f aca="false">IFERROR(__xludf.dummyfunction("""COMPUTED_VALUE"""),43741)</f>
        <v>43741</v>
      </c>
      <c r="C45" s="0" t="n">
        <f aca="false">IFERROR(__xludf.dummyfunction("""COMPUTED_VALUE"""),1)</f>
        <v>1</v>
      </c>
      <c r="D45" s="0" t="str">
        <f aca="false">IFERROR(__xludf.dummyfunction("""COMPUTED_VALUE"""),"SICI201803-18-3| Se verificarán los medicamentos y dispostivos medicos que se reciben desde el almacén y se documentará en el formato respectivo. - 30/12/1899")</f>
        <v>SICI201803-18-3| Se verificarán los medicamentos y dispostivos medicos que se reciben desde el almacén y se documentará en el formato respectivo. - 30/12/1899</v>
      </c>
      <c r="E45" s="0" t="str">
        <f aca="false">IFERROR(__xludf.dummyfunction("""COMPUTED_VALUE"""),"Se evidencia la implementación de recepción técnica en el formato estandarizado. ")</f>
        <v>Se evidencia la implementación de recepción técnica en el formato estandarizado. </v>
      </c>
      <c r="F45" s="0" t="str">
        <f aca="false">IFERROR(__xludf.dummyfunction("""COMPUTED_VALUE"""),"Completo")</f>
        <v>Completo</v>
      </c>
      <c r="G45" s="0" t="str">
        <f aca="false">IFERROR(__xludf.dummyfunction("""COMPUTED_VALUE"""),"https://drive.google.com/open?id=1kT-xWp1VNNdINP7vvNuGb7Zb_NGRWWLr, https://drive.google.com/open?id=1IxuG4vCZ3hUY0PZzD8GYmrkdwgVZZVXx, https://drive.google.com/open?id=1rpdNtDWhZnC2iq9efDOcBsg27lLAE8Tl")</f>
        <v>https://drive.google.com/open?id=1kT-xWp1VNNdINP7vvNuGb7Zb_NGRWWLr, https://drive.google.com/open?id=1IxuG4vCZ3hUY0PZzD8GYmrkdwgVZZVXx, https://drive.google.com/open?id=1rpdNtDWhZnC2iq9efDOcBsg27lLAE8Tl</v>
      </c>
    </row>
    <row r="46" customFormat="false" ht="14.25" hidden="false" customHeight="false" outlineLevel="0" collapsed="false">
      <c r="A46" s="18" t="str">
        <f aca="false">IFERROR(MID(D46,1,FIND("|",D46)-1)&amp;"-"&amp;C46,"")</f>
        <v>SICI201803-19-1-1</v>
      </c>
      <c r="B46" s="19" t="n">
        <f aca="false">IFERROR(__xludf.dummyfunction("""COMPUTED_VALUE"""),43741)</f>
        <v>43741</v>
      </c>
      <c r="C46" s="0" t="n">
        <f aca="false">IFERROR(__xludf.dummyfunction("""COMPUTED_VALUE"""),1)</f>
        <v>1</v>
      </c>
      <c r="D46" s="0" t="str">
        <f aca="false">IFERROR(__xludf.dummyfunction("""COMPUTED_VALUE"""),"SICI201803-19-1| Se notificará al equipo HIS la necesidad de que el sistema de información genere alertas en el módulo de inventario que permitan evidenciar los pendientes de medicamentos y dispostivos medicos para el personal de almacén y Servicio Farmac"&amp;"éutico. - 31/05/2019")</f>
        <v>SICI201803-19-1| Se notificará al equipo HIS la necesidad de que el sistema de información genere alertas en el módulo de inventario que permitan evidenciar los pendientes de medicamentos y dispostivos medicos para el personal de almacén y Servicio Farmacéutico. - 31/05/2019</v>
      </c>
      <c r="E46" s="0" t="str">
        <f aca="false">IFERROR(__xludf.dummyfunction("""COMPUTED_VALUE"""),"No se evidencia notificación al área de sistemas sobre el requerimiento de control de medicamentos y dispositivos pendientes.")</f>
        <v>No se evidencia notificación al área de sistemas sobre el requerimiento de control de medicamentos y dispositivos pendientes.</v>
      </c>
      <c r="F46" s="0" t="str">
        <f aca="false">IFERROR(__xludf.dummyfunction("""COMPUTED_VALUE"""),"Atrasado")</f>
        <v>Atrasado</v>
      </c>
    </row>
    <row r="47" customFormat="false" ht="14.25" hidden="false" customHeight="false" outlineLevel="0" collapsed="false">
      <c r="A47" s="18" t="str">
        <f aca="false">IFERROR(MID(D47,1,FIND("|",D47)-1)&amp;"-"&amp;C47,"")</f>
        <v>SICI201803-20-1-1</v>
      </c>
      <c r="B47" s="19" t="n">
        <f aca="false">IFERROR(__xludf.dummyfunction("""COMPUTED_VALUE"""),43741)</f>
        <v>43741</v>
      </c>
      <c r="C47" s="0" t="n">
        <f aca="false">IFERROR(__xludf.dummyfunction("""COMPUTED_VALUE"""),1)</f>
        <v>1</v>
      </c>
      <c r="D47" s="0" t="str">
        <f aca="false">IFERROR(__xludf.dummyfunction("""COMPUTED_VALUE"""),"SICI201803-20-1| Se notificar al equipo de HIS y a la Subgerencia Administrativa la necesidad de que el Sistema de Información permita en el módulo de inventarios el control de lotes, fechas de vencimiento de medicamentos y dispositivos médicos con el fin"&amp;" de garantizar un control de trazabilidad y de fechas de vencimiento. - 31/05/2019")</f>
        <v>SICI201803-20-1| Se notificar al equipo de HIS y a la Subgerencia Administrativa la necesidad de que el Sistema de Información permita en el módulo de inventarios el control de lotes, fechas de vencimiento de medicamentos y dispositivos médicos con el fin de garantizar un control de trazabilidad y de fechas de vencimiento. - 31/05/2019</v>
      </c>
      <c r="E47" s="0" t="str">
        <f aca="false">IFERROR(__xludf.dummyfunction("""COMPUTED_VALUE"""),"No se evidencia notificación al área de sistemas y/o a la subgerencia administrativa sobre el requerimiento de control de lotes y fechas de vencimiento.")</f>
        <v>No se evidencia notificación al área de sistemas y/o a la subgerencia administrativa sobre el requerimiento de control de lotes y fechas de vencimiento.</v>
      </c>
      <c r="F47" s="0" t="str">
        <f aca="false">IFERROR(__xludf.dummyfunction("""COMPUTED_VALUE"""),"Atrasado")</f>
        <v>Atrasado</v>
      </c>
    </row>
    <row r="48" customFormat="false" ht="14.25" hidden="false" customHeight="false" outlineLevel="0" collapsed="false">
      <c r="A48" s="18" t="str">
        <f aca="false">IFERROR(MID(D48,1,FIND("|",D48)-1)&amp;"-"&amp;C48,"")</f>
        <v>SICI201803-22-1-1</v>
      </c>
      <c r="B48" s="19" t="n">
        <f aca="false">IFERROR(__xludf.dummyfunction("""COMPUTED_VALUE"""),43741)</f>
        <v>43741</v>
      </c>
      <c r="C48" s="0" t="n">
        <f aca="false">IFERROR(__xludf.dummyfunction("""COMPUTED_VALUE"""),1)</f>
        <v>1</v>
      </c>
      <c r="D48" s="0" t="str">
        <f aca="false">IFERROR(__xludf.dummyfunction("""COMPUTED_VALUE"""),"SICI201803-22-1| El Servicio Farmacéutico realizará la solicitud de pedidos de 45 días al área de suministros (almacén) a través de correo electronico de acuerdo a sus necesidades. - 31/08/2019")</f>
        <v>SICI201803-22-1| El Servicio Farmacéutico realizará la solicitud de pedidos de 45 días al área de suministros (almacén) a través de correo electronico de acuerdo a sus necesidades. - 31/08/2019</v>
      </c>
      <c r="E48" s="0" t="str">
        <f aca="false">IFERROR(__xludf.dummyfunction("""COMPUTED_VALUE"""),"Se evidencia las notificaciones a la supervisión de contratos a través de correo electrónico y cuando se entra en periodo de crisis de faltantes.")</f>
        <v>Se evidencia las notificaciones a la supervisión de contratos a través de correo electrónico y cuando se entra en periodo de crisis de faltantes.</v>
      </c>
      <c r="F48" s="0" t="str">
        <f aca="false">IFERROR(__xludf.dummyfunction("""COMPUTED_VALUE"""),"Completo")</f>
        <v>Completo</v>
      </c>
      <c r="G48" s="0" t="str">
        <f aca="false">IFERROR(__xludf.dummyfunction("""COMPUTED_VALUE"""),"https://drive.google.com/open?id=17bVpvSYv4e-s7JuWuihwRhdbuIVD_15f, https://drive.google.com/open?id=12xp6sJ3oSegw7FZq0O6nmTzyIsIcyfGQ")</f>
        <v>https://drive.google.com/open?id=17bVpvSYv4e-s7JuWuihwRhdbuIVD_15f, https://drive.google.com/open?id=12xp6sJ3oSegw7FZq0O6nmTzyIsIcyfGQ</v>
      </c>
    </row>
    <row r="49" customFormat="false" ht="14.25" hidden="false" customHeight="false" outlineLevel="0" collapsed="false">
      <c r="A49" s="18" t="str">
        <f aca="false">IFERROR(MID(D49,1,FIND("|",D49)-1)&amp;"-"&amp;C49,"")</f>
        <v>SICI201803-22-2-1</v>
      </c>
      <c r="B49" s="19" t="n">
        <f aca="false">IFERROR(__xludf.dummyfunction("""COMPUTED_VALUE"""),43741)</f>
        <v>43741</v>
      </c>
      <c r="C49" s="0" t="n">
        <f aca="false">IFERROR(__xludf.dummyfunction("""COMPUTED_VALUE"""),1)</f>
        <v>1</v>
      </c>
      <c r="D49" s="0" t="str">
        <f aca="false">IFERROR(__xludf.dummyfunction("""COMPUTED_VALUE"""),"SICI201803-22-2| Se realizará el traslado de los medicamentos entre las diferentes unidades que cuentan con existencias para las farmacias que lo requieran. - 30/12/1899")</f>
        <v>SICI201803-22-2| Se realizará el traslado de los medicamentos entre las diferentes unidades que cuentan con existencias para las farmacias que lo requieran. - 30/12/1899</v>
      </c>
      <c r="E49" s="0" t="str">
        <f aca="false">IFERROR(__xludf.dummyfunction("""COMPUTED_VALUE"""),"Se evidencia la implementación del formato MI-SC-I-85-01 para el traslado de medicamentos entre las farmacias")</f>
        <v>Se evidencia la implementación del formato MI-SC-I-85-01 para el traslado de medicamentos entre las farmacias</v>
      </c>
      <c r="F49" s="0" t="str">
        <f aca="false">IFERROR(__xludf.dummyfunction("""COMPUTED_VALUE"""),"Completo")</f>
        <v>Completo</v>
      </c>
      <c r="G49" s="0" t="str">
        <f aca="false">IFERROR(__xludf.dummyfunction("""COMPUTED_VALUE"""),"https://drive.google.com/open?id=1olNCtqV20EIOES7fehI-RKigtKvTEvt-, https://drive.google.com/open?id=1jCtmwNM7ClzMNc6YjCuEVnLeR-JMzbpA, https://drive.google.com/open?id=16FZtar27zeI1nMWgqQaD_dVGySmVidlG, https://drive.google.com/open?id=1gSjCwKJFgXJ8xHj9R"&amp;"2efjlVV-PPWFrtu, https://drive.google.com/open?id=1-q25GXrCp5UaDskc-7hzfcVFRdgHJC8M")</f>
        <v>https://drive.google.com/open?id=1olNCtqV20EIOES7fehI-RKigtKvTEvt-, https://drive.google.com/open?id=1jCtmwNM7ClzMNc6YjCuEVnLeR-JMzbpA, https://drive.google.com/open?id=16FZtar27zeI1nMWgqQaD_dVGySmVidlG, https://drive.google.com/open?id=1gSjCwKJFgXJ8xHj9R2efjlVV-PPWFrtu, https://drive.google.com/open?id=1-q25GXrCp5UaDskc-7hzfcVFRdgHJC8M</v>
      </c>
    </row>
    <row r="50" customFormat="false" ht="14.25" hidden="false" customHeight="false" outlineLevel="0" collapsed="false">
      <c r="A50" s="18" t="str">
        <f aca="false">IFERROR(MID(D50,1,FIND("|",D50)-1)&amp;"-"&amp;C50,"")</f>
        <v>SICI201803-18-4-1</v>
      </c>
      <c r="B50" s="19" t="n">
        <f aca="false">IFERROR(__xludf.dummyfunction("""COMPUTED_VALUE"""),43741)</f>
        <v>43741</v>
      </c>
      <c r="C50" s="0" t="n">
        <f aca="false">IFERROR(__xludf.dummyfunction("""COMPUTED_VALUE"""),1)</f>
        <v>1</v>
      </c>
      <c r="D50" s="0" t="str">
        <f aca="false">IFERROR(__xludf.dummyfunction("""COMPUTED_VALUE"""),"SICI201803-18-4| Se implementará formato de control de medicamentos de salud pública con el fin de controlar el inventario de medicamentos como los usados para manejo de TBC: - 30/12/1899")</f>
        <v>SICI201803-18-4| Se implementará formato de control de medicamentos de salud pública con el fin de controlar el inventario de medicamentos como los usados para manejo de TBC: - 30/12/1899</v>
      </c>
      <c r="E50" s="0" t="str">
        <f aca="false">IFERROR(__xludf.dummyfunction("""COMPUTED_VALUE"""),"Se evidencia formato de control de entrega de medicamentos programa de enfermedades transmisibles.")</f>
        <v>Se evidencia formato de control de entrega de medicamentos programa de enfermedades transmisibles.</v>
      </c>
      <c r="F50" s="0" t="str">
        <f aca="false">IFERROR(__xludf.dummyfunction("""COMPUTED_VALUE"""),"Completo")</f>
        <v>Completo</v>
      </c>
      <c r="G50" s="20" t="str">
        <f aca="false">IFERROR(__xludf.dummyfunction("""COMPUTED_VALUE"""),"https://drive.google.com/open?id=19xmVRVdPKbB2AO75gFu5LkDoqTAYenCl")</f>
        <v>https://drive.google.com/open?id=19xmVRVdPKbB2AO75gFu5LkDoqTAYenCl</v>
      </c>
    </row>
    <row r="51" customFormat="false" ht="14.25" hidden="false" customHeight="false" outlineLevel="0" collapsed="false">
      <c r="A51" s="18" t="str">
        <f aca="false">IFERROR(MID(D51,1,FIND("|",D51)-1)&amp;"-"&amp;C51,"")</f>
        <v>SICI201803-22-3-1</v>
      </c>
      <c r="B51" s="19" t="n">
        <f aca="false">IFERROR(__xludf.dummyfunction("""COMPUTED_VALUE"""),43741)</f>
        <v>43741</v>
      </c>
      <c r="C51" s="0" t="n">
        <f aca="false">IFERROR(__xludf.dummyfunction("""COMPUTED_VALUE"""),1)</f>
        <v>1</v>
      </c>
      <c r="D51" s="0" t="str">
        <f aca="false">IFERROR(__xludf.dummyfunction("""COMPUTED_VALUE"""),"SICI201803-22-3| Se notificará al área de Supervisión de contratos los medicamentos contratados que son criticos y que no se reciben en los pedidos. - 30/12/1899")</f>
        <v>SICI201803-22-3| Se notificará al área de Supervisión de contratos los medicamentos contratados que son criticos y que no se reciben en los pedidos. - 30/12/1899</v>
      </c>
      <c r="E51" s="0" t="str">
        <f aca="false">IFERROR(__xludf.dummyfunction("""COMPUTED_VALUE"""),"Se evidencia envío de correos solicitando los medicamentos caracterizados como críticos, según la situación.")</f>
        <v>Se evidencia envío de correos solicitando los medicamentos caracterizados como críticos, según la situación.</v>
      </c>
      <c r="F51" s="0" t="str">
        <f aca="false">IFERROR(__xludf.dummyfunction("""COMPUTED_VALUE"""),"Completo")</f>
        <v>Completo</v>
      </c>
      <c r="G51" s="0" t="str">
        <f aca="false">IFERROR(__xludf.dummyfunction("""COMPUTED_VALUE"""),"https://drive.google.com/open?id=1ZURrL866A4FyvJQ0cyQnvBfTbAdmN9J-, https://drive.google.com/open?id=1r24AUj_hpIXNjq-3TiuzT-yhbe5InvNx")</f>
        <v>https://drive.google.com/open?id=1ZURrL866A4FyvJQ0cyQnvBfTbAdmN9J-, https://drive.google.com/open?id=1r24AUj_hpIXNjq-3TiuzT-yhbe5InvNx</v>
      </c>
    </row>
    <row r="52" customFormat="false" ht="14.25" hidden="false" customHeight="false" outlineLevel="0" collapsed="false">
      <c r="A52" s="18" t="str">
        <f aca="false">IFERROR(MID(D52,1,FIND("|",D52)-1)&amp;"-"&amp;C52,"")</f>
        <v>SICI201803-22-4-1</v>
      </c>
      <c r="B52" s="19" t="n">
        <f aca="false">IFERROR(__xludf.dummyfunction("""COMPUTED_VALUE"""),43741)</f>
        <v>43741</v>
      </c>
      <c r="C52" s="0" t="n">
        <f aca="false">IFERROR(__xludf.dummyfunction("""COMPUTED_VALUE"""),1)</f>
        <v>1</v>
      </c>
      <c r="D52" s="0" t="str">
        <f aca="false">IFERROR(__xludf.dummyfunction("""COMPUTED_VALUE"""),"SICI201803-22-4| El Servicio Farmaceutico socializará en el Comité de Farmacia y Terapéutica el listado de medicamentos debastecidos a nivel nacional para solicitar al personal asistencial posibles alternativas terapéuticas. - 30/12/1899")</f>
        <v>SICI201803-22-4| El Servicio Farmaceutico socializará en el Comité de Farmacia y Terapéutica el listado de medicamentos debastecidos a nivel nacional para solicitar al personal asistencial posibles alternativas terapéuticas. - 30/12/1899</v>
      </c>
      <c r="E52" s="0" t="str">
        <f aca="false">IFERROR(__xludf.dummyfunction("""COMPUTED_VALUE"""),"Se evidencia en presentación de comité de farmacia el listado de medicamentos  con desabastecimiento. ")</f>
        <v>Se evidencia en presentación de comité de farmacia el listado de medicamentos  con desabastecimiento. </v>
      </c>
      <c r="F52" s="0" t="str">
        <f aca="false">IFERROR(__xludf.dummyfunction("""COMPUTED_VALUE"""),"Completo")</f>
        <v>Completo</v>
      </c>
      <c r="G52" s="20" t="str">
        <f aca="false">IFERROR(__xludf.dummyfunction("""COMPUTED_VALUE"""),"https://drive.google.com/open?id=1sFnbb0hEYPZfCTNZnLApm0zR-UURAacq")</f>
        <v>https://drive.google.com/open?id=1sFnbb0hEYPZfCTNZnLApm0zR-UURAacq</v>
      </c>
    </row>
    <row r="53" customFormat="false" ht="14.25" hidden="false" customHeight="false" outlineLevel="0" collapsed="false">
      <c r="A53" s="18" t="str">
        <f aca="false">IFERROR(MID(D53,1,FIND("|",D53)-1)&amp;"-"&amp;C53,"")</f>
        <v>SICI201803-22-5-1</v>
      </c>
      <c r="B53" s="19" t="n">
        <f aca="false">IFERROR(__xludf.dummyfunction("""COMPUTED_VALUE"""),43741)</f>
        <v>43741</v>
      </c>
      <c r="C53" s="0" t="n">
        <f aca="false">IFERROR(__xludf.dummyfunction("""COMPUTED_VALUE"""),1)</f>
        <v>1</v>
      </c>
      <c r="D53" s="0" t="str">
        <f aca="false">IFERROR(__xludf.dummyfunction("""COMPUTED_VALUE"""),"SICI201803-22-5| El servicio farmacéutico notificará al área de caja menor que cuando se soliciten los insumos pendientes y que no estén contratados por la subred. los mismos deben ser gestionados en un plazo no mayor a 24 horas. - 30/12/1899")</f>
        <v>SICI201803-22-5| El servicio farmacéutico notificará al área de caja menor que cuando se soliciten los insumos pendientes y que no estén contratados por la subred. los mismos deben ser gestionados en un plazo no mayor a 24 horas. - 30/12/1899</v>
      </c>
      <c r="E53" s="0" t="str">
        <f aca="false">IFERROR(__xludf.dummyfunction("""COMPUTED_VALUE"""),"Se evidencia solicitud de recursos a caja menor para las necesidades que no se encuentra dentro de la base de contratación.")</f>
        <v>Se evidencia solicitud de recursos a caja menor para las necesidades que no se encuentra dentro de la base de contratación.</v>
      </c>
      <c r="F53" s="0" t="str">
        <f aca="false">IFERROR(__xludf.dummyfunction("""COMPUTED_VALUE"""),"Completo")</f>
        <v>Completo</v>
      </c>
      <c r="G53" s="0" t="str">
        <f aca="false">IFERROR(__xludf.dummyfunction("""COMPUTED_VALUE"""),"https://drive.google.com/open?id=1TfRBTcWTCC0zPDPPe9zxMXRuLiqRsePN, https://drive.google.com/open?id=1aFCFT86-k2NNpjgCIc5-BAe4jssAlNz-")</f>
        <v>https://drive.google.com/open?id=1TfRBTcWTCC0zPDPPe9zxMXRuLiqRsePN, https://drive.google.com/open?id=1aFCFT86-k2NNpjgCIc5-BAe4jssAlNz-</v>
      </c>
    </row>
    <row r="54" customFormat="false" ht="14.25" hidden="false" customHeight="false" outlineLevel="0" collapsed="false">
      <c r="A54" s="18" t="str">
        <f aca="false">IFERROR(MID(D54,1,FIND("|",D54)-1)&amp;"-"&amp;C54,"")</f>
        <v>SICI201803-1-1-2</v>
      </c>
      <c r="B54" s="19" t="n">
        <f aca="false">IFERROR(__xludf.dummyfunction("""COMPUTED_VALUE"""),43853)</f>
        <v>43853</v>
      </c>
      <c r="C54" s="0" t="n">
        <f aca="false">IFERROR(__xludf.dummyfunction("""COMPUTED_VALUE"""),2)</f>
        <v>2</v>
      </c>
      <c r="D54" s="0" t="str">
        <f aca="false">IFERROR(__xludf.dummyfunction("""COMPUTED_VALUE"""),"SICI201803-1-1| Se notificarán de forma inmediata al área de facturación los pacientes inactivos con el fin de obtener solución en menos de 24 horas. - 31/08/2019")</f>
        <v>SICI201803-1-1| Se notificarán de forma inmediata al área de facturación los pacientes inactivos con el fin de obtener solución en menos de 24 horas. - 31/08/2019</v>
      </c>
      <c r="E54" s="0" t="str">
        <f aca="false">IFERROR(__xludf.dummyfunction("""COMPUTED_VALUE"""),"Esta completa desde el seguimiento anterior, se continua con las notificaciones por email y whatsapp,  no es fácil medir la efectividad en 24 horas por diferentes temas del servicio,  pero se logra hacer el seguimiento")</f>
        <v>Esta completa desde el seguimiento anterior, se continua con las notificaciones por email y whatsapp,  no es fácil medir la efectividad en 24 horas por diferentes temas del servicio,  pero se logra hacer el seguimiento</v>
      </c>
      <c r="F54" s="0" t="str">
        <f aca="false">IFERROR(__xludf.dummyfunction("""COMPUTED_VALUE"""),"Completo")</f>
        <v>Completo</v>
      </c>
      <c r="G54" s="0" t="str">
        <f aca="false">IFERROR(__xludf.dummyfunction("""COMPUTED_VALUE"""),"https://drive.google.com/open?id=175jjUQeuYhs-XmhI-zvPAsSsIQ7xocF9, https://drive.google.com/open?id=1sbgnvqLNNqQ4n3ufpVmLUBbnDZtdIslX")</f>
        <v>https://drive.google.com/open?id=175jjUQeuYhs-XmhI-zvPAsSsIQ7xocF9, https://drive.google.com/open?id=1sbgnvqLNNqQ4n3ufpVmLUBbnDZtdIslX</v>
      </c>
    </row>
    <row r="55" customFormat="false" ht="14.25" hidden="false" customHeight="false" outlineLevel="0" collapsed="false">
      <c r="A55" s="18" t="str">
        <f aca="false">IFERROR(MID(D55,1,FIND("|",D55)-1)&amp;"-"&amp;C55,"")</f>
        <v>SICI201803-1-2-2</v>
      </c>
      <c r="B55" s="19" t="n">
        <f aca="false">IFERROR(__xludf.dummyfunction("""COMPUTED_VALUE"""),43853)</f>
        <v>43853</v>
      </c>
      <c r="C55" s="0" t="n">
        <f aca="false">IFERROR(__xludf.dummyfunction("""COMPUTED_VALUE"""),2)</f>
        <v>2</v>
      </c>
      <c r="D55" s="0" t="str">
        <f aca="false">IFERROR(__xludf.dummyfunction("""COMPUTED_VALUE"""),"SICI201803-1-2| Se elaborará intrumento (instructivo) en el cual se deje claro lo concerniente al manejo de las desviaciones presentadas por: caídas del sistema, valores negativos, pedidos de proveedores sin traslado y préstamos de insumos no legalizados "&amp;"con el fin de minimizar las desviaciones. - 30/12/1899")</f>
        <v>SICI201803-1-2| Se elaborará intrumento (instructivo) en el cual se deje claro lo concerniente al manejo de las desviaciones presentadas por: caídas del sistema, valores negativos, pedidos de proveedores sin traslado y préstamos de insumos no legalizados con el fin de minimizar las desviaciones. - 30/12/1899</v>
      </c>
      <c r="E55" s="0" t="str">
        <f aca="false">IFERROR(__xludf.dummyfunction("""COMPUTED_VALUE"""),"la acción se completo en el seguimiento anterior con los soportes de elaboración del formato")</f>
        <v>la acción se completo en el seguimiento anterior con los soportes de elaboración del formato</v>
      </c>
      <c r="F55" s="0" t="str">
        <f aca="false">IFERROR(__xludf.dummyfunction("""COMPUTED_VALUE"""),"Completo")</f>
        <v>Completo</v>
      </c>
      <c r="G55" s="0" t="str">
        <f aca="false">IFERROR(__xludf.dummyfunction("""COMPUTED_VALUE"""),"https://drive.google.com/open?id=1TPoTPpGG9Qwt3E7BhTDeF_AG23USVQlP, https://drive.google.com/open?id=1dp3Tv2fVrDgPli0Vkn8XV0VcoKcLfYSz")</f>
        <v>https://drive.google.com/open?id=1TPoTPpGG9Qwt3E7BhTDeF_AG23USVQlP, https://drive.google.com/open?id=1dp3Tv2fVrDgPli0Vkn8XV0VcoKcLfYSz</v>
      </c>
    </row>
    <row r="56" customFormat="false" ht="14.25" hidden="false" customHeight="false" outlineLevel="0" collapsed="false">
      <c r="A56" s="18" t="str">
        <f aca="false">IFERROR(MID(D56,1,FIND("|",D56)-1)&amp;"-"&amp;C56,"")</f>
        <v>SICI201803-1-3-2</v>
      </c>
      <c r="B56" s="19" t="n">
        <f aca="false">IFERROR(__xludf.dummyfunction("""COMPUTED_VALUE"""),43853)</f>
        <v>43853</v>
      </c>
      <c r="C56" s="0" t="n">
        <f aca="false">IFERROR(__xludf.dummyfunction("""COMPUTED_VALUE"""),2)</f>
        <v>2</v>
      </c>
      <c r="D56" s="0" t="str">
        <f aca="false">IFERROR(__xludf.dummyfunction("""COMPUTED_VALUE"""),"SICI201803-1-3| Se realizará capacitacion al personal sobre el buen manejo de los medicamentos e insumos de acuerdo a las buenas prácticas de almacenamiento y dispensacion. - 30/12/1899")</f>
        <v>SICI201803-1-3| Se realizará capacitacion al personal sobre el buen manejo de los medicamentos e insumos de acuerdo a las buenas prácticas de almacenamiento y dispensacion. - 30/12/1899</v>
      </c>
      <c r="E56" s="0" t="str">
        <f aca="false">IFERROR(__xludf.dummyfunction("""COMPUTED_VALUE"""),"No se han realizado nuevas capacitaciones que las realizadas en la vigencia anterior, pero se tiene soportes de las capacitaciones y divulgaciones anteriores")</f>
        <v>No se han realizado nuevas capacitaciones que las realizadas en la vigencia anterior, pero se tiene soportes de las capacitaciones y divulgaciones anteriores</v>
      </c>
      <c r="F56" s="0" t="str">
        <f aca="false">IFERROR(__xludf.dummyfunction("""COMPUTED_VALUE"""),"Completo")</f>
        <v>Completo</v>
      </c>
      <c r="G56" s="0" t="str">
        <f aca="false">IFERROR(__xludf.dummyfunction("""COMPUTED_VALUE"""),"https://drive.google.com/open?id=1OP_ZAoilzR2XAN2-4wxGv4Q5QI7kmqqf, https://drive.google.com/open?id=1uMqMgR2R7g6e14wyBKYfHLlV2xBviHj3, https://drive.google.com/open?id=1B9KFuEdcr6TajktzMIs3aQp8KD5BJK6Q")</f>
        <v>https://drive.google.com/open?id=1OP_ZAoilzR2XAN2-4wxGv4Q5QI7kmqqf, https://drive.google.com/open?id=1uMqMgR2R7g6e14wyBKYfHLlV2xBviHj3, https://drive.google.com/open?id=1B9KFuEdcr6TajktzMIs3aQp8KD5BJK6Q</v>
      </c>
    </row>
    <row r="57" customFormat="false" ht="14.25" hidden="false" customHeight="false" outlineLevel="0" collapsed="false">
      <c r="A57" s="18" t="str">
        <f aca="false">IFERROR(MID(D57,1,FIND("|",D57)-1)&amp;"-"&amp;C57,"")</f>
        <v>SICI201803-1-4-2</v>
      </c>
      <c r="B57" s="19" t="n">
        <f aca="false">IFERROR(__xludf.dummyfunction("""COMPUTED_VALUE"""),43853)</f>
        <v>43853</v>
      </c>
      <c r="C57" s="0" t="n">
        <f aca="false">IFERROR(__xludf.dummyfunction("""COMPUTED_VALUE"""),2)</f>
        <v>2</v>
      </c>
      <c r="D57" s="0" t="str">
        <f aca="false">IFERROR(__xludf.dummyfunction("""COMPUTED_VALUE"""),"SICI201803-1-4| Se diseñará e implementará instrumento (formato) para préstamos única y exclusivamente para casos de urgencia vital, el formato debe llegar a la farmacia debidamente diligenciado con toda la información del paciente y de la persona que lo "&amp;"solicita. - 30/12/1899")</f>
        <v>SICI201803-1-4| Se diseñará e implementará instrumento (formato) para préstamos única y exclusivamente para casos de urgencia vital, el formato debe llegar a la farmacia debidamente diligenciado con toda la información del paciente y de la persona que lo solicita. - 30/12/1899</v>
      </c>
      <c r="E57" s="0" t="str">
        <f aca="false">IFERROR(__xludf.dummyfunction("""COMPUTED_VALUE"""),"Se continua  diligenciando el formato  de prestamos a urgencias   la accions estaba completada desde el seguimiento anterior")</f>
        <v>Se continua  diligenciando el formato  de prestamos a urgencias   la accions estaba completada desde el seguimiento anterior</v>
      </c>
      <c r="F57" s="0" t="str">
        <f aca="false">IFERROR(__xludf.dummyfunction("""COMPUTED_VALUE"""),"Completo")</f>
        <v>Completo</v>
      </c>
      <c r="G57" s="0" t="str">
        <f aca="false">IFERROR(__xludf.dummyfunction("""COMPUTED_VALUE"""),"https://drive.google.com/open?id=19ib7VQKb-w2fZERGLpunf_l4wucQN_VI, https://drive.google.com/open?id=1ORJ3F6CgOFKZ9jJAGP7OH5kxF45aizvD, https://drive.google.com/open?id=1_o4juKYK2Ll7Df_tvssZwbTD9Dw5lav-")</f>
        <v>https://drive.google.com/open?id=19ib7VQKb-w2fZERGLpunf_l4wucQN_VI, https://drive.google.com/open?id=1ORJ3F6CgOFKZ9jJAGP7OH5kxF45aizvD, https://drive.google.com/open?id=1_o4juKYK2Ll7Df_tvssZwbTD9Dw5lav-</v>
      </c>
    </row>
    <row r="58" customFormat="false" ht="14.25" hidden="false" customHeight="false" outlineLevel="0" collapsed="false">
      <c r="A58" s="18" t="str">
        <f aca="false">IFERROR(MID(D58,1,FIND("|",D58)-1)&amp;"-"&amp;C58,"")</f>
        <v>SICI201803-1-5-2</v>
      </c>
      <c r="B58" s="19" t="n">
        <f aca="false">IFERROR(__xludf.dummyfunction("""COMPUTED_VALUE"""),43853)</f>
        <v>43853</v>
      </c>
      <c r="C58" s="0" t="n">
        <f aca="false">IFERROR(__xludf.dummyfunction("""COMPUTED_VALUE"""),2)</f>
        <v>2</v>
      </c>
      <c r="D58" s="0" t="str">
        <f aca="false">IFERROR(__xludf.dummyfunction("""COMPUTED_VALUE"""),"SICI201803-1-5| Los préstamos no legalizados se notificarán al referente del servicio para que éste gestione con la persona responsable del préstamo la respectiva legalizacion de los mismos. - 30/12/1899")</f>
        <v>SICI201803-1-5| Los préstamos no legalizados se notificarán al referente del servicio para que éste gestione con la persona responsable del préstamo la respectiva legalizacion de los mismos. - 30/12/1899</v>
      </c>
      <c r="E58" s="0" t="str">
        <f aca="false">IFERROR(__xludf.dummyfunction("""COMPUTED_VALUE"""),"se continua realizando las notificaciones de las solicitudes mediante el chat del grupo de Farmacia, por la dimensión del servicio y para facilitar y agilizar la informacion , no se hace por correo electronico")</f>
        <v>se continua realizando las notificaciones de las solicitudes mediante el chat del grupo de Farmacia, por la dimensión del servicio y para facilitar y agilizar la informacion , no se hace por correo electronico</v>
      </c>
      <c r="F58" s="0" t="str">
        <f aca="false">IFERROR(__xludf.dummyfunction("""COMPUTED_VALUE"""),"Completo")</f>
        <v>Completo</v>
      </c>
      <c r="G58" s="20" t="str">
        <f aca="false">IFERROR(__xludf.dummyfunction("""COMPUTED_VALUE"""),"https://drive.google.com/open?id=1reCG9gwJr2yznOku63GFmAC1ZmT46LTG")</f>
        <v>https://drive.google.com/open?id=1reCG9gwJr2yznOku63GFmAC1ZmT46LTG</v>
      </c>
    </row>
    <row r="59" customFormat="false" ht="14.25" hidden="false" customHeight="false" outlineLevel="0" collapsed="false">
      <c r="A59" s="18" t="str">
        <f aca="false">IFERROR(MID(D59,1,FIND("|",D59)-1)&amp;"-"&amp;C59,"")</f>
        <v>SICI201803-1-6-2</v>
      </c>
      <c r="B59" s="19" t="n">
        <f aca="false">IFERROR(__xludf.dummyfunction("""COMPUTED_VALUE"""),43853)</f>
        <v>43853</v>
      </c>
      <c r="C59" s="0" t="n">
        <f aca="false">IFERROR(__xludf.dummyfunction("""COMPUTED_VALUE"""),2)</f>
        <v>2</v>
      </c>
      <c r="D59" s="0" t="str">
        <f aca="false">IFERROR(__xludf.dummyfunction("""COMPUTED_VALUE"""),"SICI201803-1-6| Se notificará a la Direccion administrativa (suministros) para que generen acciones de mejora con respecto a las entregas sin traslado. - 30/12/1899")</f>
        <v>SICI201803-1-6| Se notificará a la Direccion administrativa (suministros) para que generen acciones de mejora con respecto a las entregas sin traslado. - 30/12/1899</v>
      </c>
      <c r="E59" s="0" t="str">
        <f aca="false">IFERROR(__xludf.dummyfunction("""COMPUTED_VALUE"""),"el Líder de farmacia informa que esta tarea debería revisarse  por parte de áreas de control y evaluación,  quienes son las indicadas para solicitar acciones de mejora. en observaciones ")</f>
        <v>el Líder de farmacia informa que esta tarea debería revisarse  por parte de áreas de control y evaluación,  quienes son las indicadas para solicitar acciones de mejora. en observaciones </v>
      </c>
      <c r="F59" s="0" t="str">
        <f aca="false">IFERROR(__xludf.dummyfunction("""COMPUTED_VALUE"""),"Atrasado")</f>
        <v>Atrasado</v>
      </c>
    </row>
    <row r="60" customFormat="false" ht="14.25" hidden="false" customHeight="false" outlineLevel="0" collapsed="false">
      <c r="A60" s="18" t="str">
        <f aca="false">IFERROR(MID(D60,1,FIND("|",D60)-1)&amp;"-"&amp;C60,"")</f>
        <v>SICI201803-1-7-2</v>
      </c>
      <c r="B60" s="19" t="n">
        <f aca="false">IFERROR(__xludf.dummyfunction("""COMPUTED_VALUE"""),43853)</f>
        <v>43853</v>
      </c>
      <c r="C60" s="0" t="n">
        <f aca="false">IFERROR(__xludf.dummyfunction("""COMPUTED_VALUE"""),2)</f>
        <v>2</v>
      </c>
      <c r="D60" s="0" t="str">
        <f aca="false">IFERROR(__xludf.dummyfunction("""COMPUTED_VALUE"""),"SICI201803-1-7| Se notificará por correo electrónico a la Direccion de Servicios Complementarios la necesidad de completar el recurso humano para poder ejecutar las actividades de control en cuanto al manejo de inventarios. - 30/12/1899")</f>
        <v>SICI201803-1-7| Se notificará por correo electrónico a la Direccion de Servicios Complementarios la necesidad de completar el recurso humano para poder ejecutar las actividades de control en cuanto al manejo de inventarios. - 30/12/1899</v>
      </c>
      <c r="E60" s="0" t="str">
        <f aca="false">IFERROR(__xludf.dummyfunction("""COMPUTED_VALUE"""),"informan que aún se sigue presentando déficit de auxiliares y personal para el servicio de farmacia, se continúa realizando solicitud de personal.")</f>
        <v>informan que aún se sigue presentando déficit de auxiliares y personal para el servicio de farmacia, se continúa realizando solicitud de personal.</v>
      </c>
      <c r="F60" s="0" t="str">
        <f aca="false">IFERROR(__xludf.dummyfunction("""COMPUTED_VALUE"""),"Completo")</f>
        <v>Completo</v>
      </c>
      <c r="G60" s="0" t="str">
        <f aca="false">IFERROR(__xludf.dummyfunction("""COMPUTED_VALUE"""),"https://drive.google.com/open?id=1kfKVJZ_yjOOiRcEVJG1wPW56S8tjsItK, https://drive.google.com/open?id=1wv6cxU9xJBkBnbiQ_uXUJsa3JRcOVyEg")</f>
        <v>https://drive.google.com/open?id=1kfKVJZ_yjOOiRcEVJG1wPW56S8tjsItK, https://drive.google.com/open?id=1wv6cxU9xJBkBnbiQ_uXUJsa3JRcOVyEg</v>
      </c>
    </row>
    <row r="61" customFormat="false" ht="14.25" hidden="false" customHeight="false" outlineLevel="0" collapsed="false">
      <c r="A61" s="18" t="str">
        <f aca="false">IFERROR(MID(D61,1,FIND("|",D61)-1)&amp;"-"&amp;C61,"")</f>
        <v>SICI201803-2-1-2</v>
      </c>
      <c r="B61" s="19" t="n">
        <f aca="false">IFERROR(__xludf.dummyfunction("""COMPUTED_VALUE"""),43853)</f>
        <v>43853</v>
      </c>
      <c r="C61" s="0" t="n">
        <f aca="false">IFERROR(__xludf.dummyfunction("""COMPUTED_VALUE"""),2)</f>
        <v>2</v>
      </c>
      <c r="D61" s="0" t="str">
        <f aca="false">IFERROR(__xludf.dummyfunction("""COMPUTED_VALUE"""),"SICI201803-2-1| Se realizará inventario del estado de los muebles de medicamentos de control especial con una periodicidad de cada 4 meses. - 31/05/2019")</f>
        <v>SICI201803-2-1| Se realizará inventario del estado de los muebles de medicamentos de control especial con una periodicidad de cada 4 meses. - 31/05/2019</v>
      </c>
      <c r="E61" s="0" t="str">
        <f aca="false">IFERROR(__xludf.dummyfunction("""COMPUTED_VALUE"""),"Se verifican imágenes de los muebles en buen estado y con las medidas de seguridad bien, cumpliendo con la requerido por  el fondo Nacional de Estupefacientes.")</f>
        <v>Se verifican imágenes de los muebles en buen estado y con las medidas de seguridad bien, cumpliendo con la requerido por  el fondo Nacional de Estupefacientes.</v>
      </c>
      <c r="F61" s="0" t="str">
        <f aca="false">IFERROR(__xludf.dummyfunction("""COMPUTED_VALUE"""),"Completo")</f>
        <v>Completo</v>
      </c>
      <c r="G61" s="0" t="str">
        <f aca="false">IFERROR(__xludf.dummyfunction("""COMPUTED_VALUE"""),"https://drive.google.com/open?id=1kdNe_yG-Nk5QO4dElNagKK94nQTTJZ7m, https://drive.google.com/open?id=1rqm7cMfk85NG7wKGpMt0spq81iKey7kl, https://drive.google.com/open?id=1fwOTnWDfbxGkc8xYRZ1aIe3aWld7mvof, https://drive.google.com/open?id=1yVPn73gAhcIy410WQ"&amp;"S0kM_psqc6SAkJn")</f>
        <v>https://drive.google.com/open?id=1kdNe_yG-Nk5QO4dElNagKK94nQTTJZ7m, https://drive.google.com/open?id=1rqm7cMfk85NG7wKGpMt0spq81iKey7kl, https://drive.google.com/open?id=1fwOTnWDfbxGkc8xYRZ1aIe3aWld7mvof, https://drive.google.com/open?id=1yVPn73gAhcIy410WQS0kM_psqc6SAkJn</v>
      </c>
    </row>
    <row r="62" customFormat="false" ht="14.25" hidden="false" customHeight="false" outlineLevel="0" collapsed="false">
      <c r="A62" s="18" t="str">
        <f aca="false">IFERROR(MID(D62,1,FIND("|",D62)-1)&amp;"-"&amp;C62,"")</f>
        <v>SICI201803-2-2-2</v>
      </c>
      <c r="B62" s="19" t="n">
        <f aca="false">IFERROR(__xludf.dummyfunction("""COMPUTED_VALUE"""),43853)</f>
        <v>43853</v>
      </c>
      <c r="C62" s="0" t="n">
        <f aca="false">IFERROR(__xludf.dummyfunction("""COMPUTED_VALUE"""),2)</f>
        <v>2</v>
      </c>
      <c r="D62" s="0" t="str">
        <f aca="false">IFERROR(__xludf.dummyfunction("""COMPUTED_VALUE"""),"SICI201803-2-2| Se generará instrumento de verificación (formato) con el fin de tener soporte escrito de la actividad realizada en el punto 1. - 30/12/1899")</f>
        <v>SICI201803-2-2| Se generará instrumento de verificación (formato) con el fin de tener soporte escrito de la actividad realizada en el punto 1. - 30/12/1899</v>
      </c>
      <c r="E62" s="0" t="str">
        <f aca="false">IFERROR(__xludf.dummyfunction("""COMPUTED_VALUE"""),"Aun no se ha implementado instrumento para la verificación de la actividad, informan que se revisará proceso para la implementación")</f>
        <v>Aun no se ha implementado instrumento para la verificación de la actividad, informan que se revisará proceso para la implementación</v>
      </c>
      <c r="F62" s="0" t="str">
        <f aca="false">IFERROR(__xludf.dummyfunction("""COMPUTED_VALUE"""),"En desarrollo")</f>
        <v>En desarrollo</v>
      </c>
    </row>
    <row r="63" customFormat="false" ht="14.25" hidden="false" customHeight="false" outlineLevel="0" collapsed="false">
      <c r="A63" s="18" t="str">
        <f aca="false">IFERROR(MID(D63,1,FIND("|",D63)-1)&amp;"-"&amp;C63,"")</f>
        <v>SICI201803-2-3-2</v>
      </c>
      <c r="B63" s="19" t="n">
        <f aca="false">IFERROR(__xludf.dummyfunction("""COMPUTED_VALUE"""),43853)</f>
        <v>43853</v>
      </c>
      <c r="C63" s="0" t="n">
        <f aca="false">IFERROR(__xludf.dummyfunction("""COMPUTED_VALUE"""),2)</f>
        <v>2</v>
      </c>
      <c r="D63" s="0" t="str">
        <f aca="false">IFERROR(__xludf.dummyfunction("""COMPUTED_VALUE"""),"SICI201803-2-3| En caso de no cumplir con los requisitos de seguridad del mueble (chapas en buen estado) se notificará a través de la mesa de ayuda al área de mantenimiento o activos físicos para su reparación o cambio. - 30/12/1899")</f>
        <v>SICI201803-2-3| En caso de no cumplir con los requisitos de seguridad del mueble (chapas en buen estado) se notificará a través de la mesa de ayuda al área de mantenimiento o activos físicos para su reparación o cambio. - 30/12/1899</v>
      </c>
      <c r="E63" s="0" t="str">
        <f aca="false">IFERROR(__xludf.dummyfunction("""COMPUTED_VALUE"""),"la acción se completó en el seguimiento anterior y los elementos están en buen estado")</f>
        <v>la acción se completó en el seguimiento anterior y los elementos están en buen estado</v>
      </c>
      <c r="F63" s="0" t="str">
        <f aca="false">IFERROR(__xludf.dummyfunction("""COMPUTED_VALUE"""),"Completo")</f>
        <v>Completo</v>
      </c>
    </row>
    <row r="64" customFormat="false" ht="14.25" hidden="false" customHeight="false" outlineLevel="0" collapsed="false">
      <c r="A64" s="18" t="str">
        <f aca="false">IFERROR(MID(D64,1,FIND("|",D64)-1)&amp;"-"&amp;C64,"")</f>
        <v>SICI201803-2-4-2</v>
      </c>
      <c r="B64" s="19" t="n">
        <f aca="false">IFERROR(__xludf.dummyfunction("""COMPUTED_VALUE"""),43853)</f>
        <v>43853</v>
      </c>
      <c r="C64" s="0" t="n">
        <f aca="false">IFERROR(__xludf.dummyfunction("""COMPUTED_VALUE"""),2)</f>
        <v>2</v>
      </c>
      <c r="D64" s="0" t="str">
        <f aca="false">IFERROR(__xludf.dummyfunction("""COMPUTED_VALUE"""),"SICI201803-2-4| Se realizará seguimiento de las correcciones pertinentes. - 30/12/1899")</f>
        <v>SICI201803-2-4| Se realizará seguimiento de las correcciones pertinentes. - 30/12/1899</v>
      </c>
      <c r="E64" s="0" t="str">
        <f aca="false">IFERROR(__xludf.dummyfunction("""COMPUTED_VALUE"""),"El Seguimiento de las correcciones se realiza mediante la verificación de entrega de turno  diariamente  se deja soporte de entrega de turno ")</f>
        <v>El Seguimiento de las correcciones se realiza mediante la verificación de entrega de turno  diariamente  se deja soporte de entrega de turno </v>
      </c>
      <c r="F64" s="0" t="str">
        <f aca="false">IFERROR(__xludf.dummyfunction("""COMPUTED_VALUE"""),"Completo")</f>
        <v>Completo</v>
      </c>
      <c r="G64" s="0" t="str">
        <f aca="false">IFERROR(__xludf.dummyfunction("""COMPUTED_VALUE"""),"https://drive.google.com/open?id=1_h1gGANpVy-grHbr32o8NsfJSHoUH1E3, https://drive.google.com/open?id=1VDI9A_UT0VXiqvWTyqksCuHNV9s4dFid, https://drive.google.com/open?id=1TEF9ZT3Q9y6o8PCMoTnDQCP-n3pNWb_K, https://drive.google.com/open?id=1NFE9pYFZXkFyknNHP"&amp;"ehPrva98W6G_WBC, https://drive.google.com/open?id=1VwknnHN5KU8vkGUqOF4Q8vbo7_7NIMuu")</f>
        <v>https://drive.google.com/open?id=1_h1gGANpVy-grHbr32o8NsfJSHoUH1E3, https://drive.google.com/open?id=1VDI9A_UT0VXiqvWTyqksCuHNV9s4dFid, https://drive.google.com/open?id=1TEF9ZT3Q9y6o8PCMoTnDQCP-n3pNWb_K, https://drive.google.com/open?id=1NFE9pYFZXkFyknNHPehPrva98W6G_WBC, https://drive.google.com/open?id=1VwknnHN5KU8vkGUqOF4Q8vbo7_7NIMuu</v>
      </c>
    </row>
    <row r="65" customFormat="false" ht="14.25" hidden="false" customHeight="false" outlineLevel="0" collapsed="false">
      <c r="A65" s="18" t="str">
        <f aca="false">IFERROR(MID(D65,1,FIND("|",D65)-1)&amp;"-"&amp;C65,"")</f>
        <v>SICI201803-3-1-2</v>
      </c>
      <c r="B65" s="19" t="n">
        <f aca="false">IFERROR(__xludf.dummyfunction("""COMPUTED_VALUE"""),43853)</f>
        <v>43853</v>
      </c>
      <c r="C65" s="0" t="n">
        <f aca="false">IFERROR(__xludf.dummyfunction("""COMPUTED_VALUE"""),2)</f>
        <v>2</v>
      </c>
      <c r="D65" s="0" t="str">
        <f aca="false">IFERROR(__xludf.dummyfunction("""COMPUTED_VALUE"""),"SICI201803-3-1| Se notificará al referente de enfermería el no cumplimiento del correcto uso y diligenciamiento del formato de devoluciones por parte de enfermeria. - 31/05/2019")</f>
        <v>SICI201803-3-1| Se notificará al referente de enfermería el no cumplimiento del correcto uso y diligenciamiento del formato de devoluciones por parte de enfermeria. - 31/05/2019</v>
      </c>
      <c r="E65" s="0" t="str">
        <f aca="false">IFERROR(__xludf.dummyfunction("""COMPUTED_VALUE"""),"Sobre este tema aun no se han realizado acciones para crear el instructivo  o formato")</f>
        <v>Sobre este tema aun no se han realizado acciones para crear el instructivo  o formato</v>
      </c>
      <c r="F65" s="0" t="str">
        <f aca="false">IFERROR(__xludf.dummyfunction("""COMPUTED_VALUE"""),"Atrasado")</f>
        <v>Atrasado</v>
      </c>
    </row>
    <row r="66" customFormat="false" ht="14.25" hidden="false" customHeight="false" outlineLevel="0" collapsed="false">
      <c r="A66" s="18" t="str">
        <f aca="false">IFERROR(MID(D66,1,FIND("|",D66)-1)&amp;"-"&amp;C66,"")</f>
        <v>SICI201803-3-2-2</v>
      </c>
      <c r="B66" s="19" t="n">
        <f aca="false">IFERROR(__xludf.dummyfunction("""COMPUTED_VALUE"""),43853)</f>
        <v>43853</v>
      </c>
      <c r="C66" s="0" t="n">
        <f aca="false">IFERROR(__xludf.dummyfunction("""COMPUTED_VALUE"""),2)</f>
        <v>2</v>
      </c>
      <c r="D66" s="0" t="str">
        <f aca="false">IFERROR(__xludf.dummyfunction("""COMPUTED_VALUE"""),"SICI201803-3-2| Posterior a la fecha de notificación se exigirá desde el servicio farmacéutico dicho cumplimiento y no se recibirán devoluciones sin este documento. - 30/12/1899")</f>
        <v>SICI201803-3-2| Posterior a la fecha de notificación se exigirá desde el servicio farmacéutico dicho cumplimiento y no se recibirán devoluciones sin este documento. - 30/12/1899</v>
      </c>
      <c r="E66" s="0" t="str">
        <f aca="false">IFERROR(__xludf.dummyfunction("""COMPUTED_VALUE"""),"aunque se cuenta con formato de devoluciones, sin embargo se usa parcialmente. aun no se a  creado instructivo ni formato de aprovechamiento.")</f>
        <v>aunque se cuenta con formato de devoluciones, sin embargo se usa parcialmente. aun no se a  creado instructivo ni formato de aprovechamiento.</v>
      </c>
      <c r="F66" s="0" t="str">
        <f aca="false">IFERROR(__xludf.dummyfunction("""COMPUTED_VALUE"""),"Atrasado")</f>
        <v>Atrasado</v>
      </c>
    </row>
    <row r="67" customFormat="false" ht="14.25" hidden="false" customHeight="false" outlineLevel="0" collapsed="false">
      <c r="A67" s="18" t="str">
        <f aca="false">IFERROR(MID(D67,1,FIND("|",D67)-1)&amp;"-"&amp;C67,"")</f>
        <v>SICI201803-3-3-2</v>
      </c>
      <c r="B67" s="19" t="n">
        <f aca="false">IFERROR(__xludf.dummyfunction("""COMPUTED_VALUE"""),43853)</f>
        <v>43853</v>
      </c>
      <c r="C67" s="0" t="n">
        <f aca="false">IFERROR(__xludf.dummyfunction("""COMPUTED_VALUE"""),2)</f>
        <v>2</v>
      </c>
      <c r="D67" s="0" t="str">
        <f aca="false">IFERROR(__xludf.dummyfunction("""COMPUTED_VALUE"""),"SICI201803-3-3| Se notificará al equipo HIS sobre los inconvenientes presentados en cuanto a las devoluciones por sistema y se hará seguimiento. - 30/12/1899")</f>
        <v>SICI201803-3-3| Se notificará al equipo HIS sobre los inconvenientes presentados en cuanto a las devoluciones por sistema y se hará seguimiento. - 30/12/1899</v>
      </c>
      <c r="E67" s="0" t="str">
        <f aca="false">IFERROR(__xludf.dummyfunction("""COMPUTED_VALUE"""),"Se han realizado talleres por parte de HIS a enfermería para la implementación del proceso pero no se ha logrado resultados  para los inconvenientes  presentados se continua realizando acciones para reducirlos.")</f>
        <v>Se han realizado talleres por parte de HIS a enfermería para la implementación del proceso pero no se ha logrado resultados  para los inconvenientes  presentados se continua realizando acciones para reducirlos.</v>
      </c>
      <c r="F67" s="0" t="str">
        <f aca="false">IFERROR(__xludf.dummyfunction("""COMPUTED_VALUE"""),"En desarrollo")</f>
        <v>En desarrollo</v>
      </c>
    </row>
    <row r="68" customFormat="false" ht="14.25" hidden="false" customHeight="false" outlineLevel="0" collapsed="false">
      <c r="A68" s="18" t="str">
        <f aca="false">IFERROR(MID(D68,1,FIND("|",D68)-1)&amp;"-"&amp;C68,"")</f>
        <v>SICI201803-5-1-2</v>
      </c>
      <c r="B68" s="19" t="n">
        <f aca="false">IFERROR(__xludf.dummyfunction("""COMPUTED_VALUE"""),43853)</f>
        <v>43853</v>
      </c>
      <c r="C68" s="0" t="n">
        <f aca="false">IFERROR(__xludf.dummyfunction("""COMPUTED_VALUE"""),2)</f>
        <v>2</v>
      </c>
      <c r="D68" s="0" t="str">
        <f aca="false">IFERROR(__xludf.dummyfunction("""COMPUTED_VALUE"""),"SICI201803-5-1| Se notificará a Supervisión de contratos la necesidad de la dispensación de forma completa y oportuna el pedido de 45 días con el fin de minimizar los medicamentos o insumos faltantes. - 30/04/2019")</f>
        <v>SICI201803-5-1| Se notificará a Supervisión de contratos la necesidad de la dispensación de forma completa y oportuna el pedido de 45 días con el fin de minimizar los medicamentos o insumos faltantes. - 30/04/2019</v>
      </c>
      <c r="E68" s="0" t="str">
        <f aca="false">IFERROR(__xludf.dummyfunction("""COMPUTED_VALUE"""),"Se continua con las notificaciones  sobre la dispensación completa, la acción se completó desde el seguimiento anterior")</f>
        <v>Se continua con las notificaciones  sobre la dispensación completa, la acción se completó desde el seguimiento anterior</v>
      </c>
      <c r="F68" s="0" t="str">
        <f aca="false">IFERROR(__xludf.dummyfunction("""COMPUTED_VALUE"""),"Completo")</f>
        <v>Completo</v>
      </c>
      <c r="G68" s="0" t="str">
        <f aca="false">IFERROR(__xludf.dummyfunction("""COMPUTED_VALUE"""),"https://drive.google.com/open?id=1-ql-8NY6nKkPq1gYszwenpMvPWVtuL24, https://drive.google.com/open?id=1L2Hqkk2pOSaJ-_N_pX1n7OEDG2dszN9i")</f>
        <v>https://drive.google.com/open?id=1-ql-8NY6nKkPq1gYszwenpMvPWVtuL24, https://drive.google.com/open?id=1L2Hqkk2pOSaJ-_N_pX1n7OEDG2dszN9i</v>
      </c>
    </row>
    <row r="69" customFormat="false" ht="14.25" hidden="false" customHeight="false" outlineLevel="0" collapsed="false">
      <c r="A69" s="18" t="str">
        <f aca="false">IFERROR(MID(D69,1,FIND("|",D69)-1)&amp;"-"&amp;C69,"")</f>
        <v>SICI201803-5-2-2</v>
      </c>
      <c r="B69" s="19" t="n">
        <f aca="false">IFERROR(__xludf.dummyfunction("""COMPUTED_VALUE"""),43853)</f>
        <v>43853</v>
      </c>
      <c r="C69" s="0" t="n">
        <f aca="false">IFERROR(__xludf.dummyfunction("""COMPUTED_VALUE"""),2)</f>
        <v>2</v>
      </c>
      <c r="D69" s="0" t="str">
        <f aca="false">IFERROR(__xludf.dummyfunction("""COMPUTED_VALUE"""),"SICI201803-5-2| Se notificará al área de caja menor la necesidad de la gestión de forma inmediata de los medicamentos y dispositivos en menos de 24 horas. - 30/12/1899")</f>
        <v>SICI201803-5-2| Se notificará al área de caja menor la necesidad de la gestión de forma inmediata de los medicamentos y dispositivos en menos de 24 horas. - 30/12/1899</v>
      </c>
      <c r="E69" s="0" t="str">
        <f aca="false">IFERROR(__xludf.dummyfunction("""COMPUTED_VALUE"""),"la acción se ha completado desde el seguimiento anterior, aun se presentan notificaciones y solicitudes a caja menor.")</f>
        <v>la acción se ha completado desde el seguimiento anterior, aun se presentan notificaciones y solicitudes a caja menor.</v>
      </c>
      <c r="F69" s="0" t="str">
        <f aca="false">IFERROR(__xludf.dummyfunction("""COMPUTED_VALUE"""),"Completo")</f>
        <v>Completo</v>
      </c>
      <c r="G69" s="0" t="str">
        <f aca="false">IFERROR(__xludf.dummyfunction("""COMPUTED_VALUE"""),"https://drive.google.com/open?id=1wekozeDxesyTT4bN4FxHqHTY_C_PXK0s, https://drive.google.com/open?id=1N0wpswrFpJ-Hc8Fwaadg-UUtV301_2NE")</f>
        <v>https://drive.google.com/open?id=1wekozeDxesyTT4bN4FxHqHTY_C_PXK0s, https://drive.google.com/open?id=1N0wpswrFpJ-Hc8Fwaadg-UUtV301_2NE</v>
      </c>
    </row>
    <row r="70" customFormat="false" ht="14.25" hidden="false" customHeight="false" outlineLevel="0" collapsed="false">
      <c r="A70" s="18" t="str">
        <f aca="false">IFERROR(MID(D70,1,FIND("|",D70)-1)&amp;"-"&amp;C70,"")</f>
        <v>SICI201803-6-1-2</v>
      </c>
      <c r="B70" s="19" t="n">
        <f aca="false">IFERROR(__xludf.dummyfunction("""COMPUTED_VALUE"""),43853)</f>
        <v>43853</v>
      </c>
      <c r="C70" s="0" t="n">
        <f aca="false">IFERROR(__xludf.dummyfunction("""COMPUTED_VALUE"""),2)</f>
        <v>2</v>
      </c>
      <c r="D70" s="0" t="str">
        <f aca="false">IFERROR(__xludf.dummyfunction("""COMPUTED_VALUE"""),"SICI201803-6-1| Se notificara al área de Supervisión de contratos la necesidad de la dispensación de forma completa y oportuna del pedido de 45 dias con el fin de minimizar faltantes y pendientes. - 30/04/2019")</f>
        <v>SICI201803-6-1| Se notificara al área de Supervisión de contratos la necesidad de la dispensación de forma completa y oportuna del pedido de 45 dias con el fin de minimizar faltantes y pendientes. - 30/04/2019</v>
      </c>
      <c r="E70" s="0" t="str">
        <f aca="false">IFERROR(__xludf.dummyfunction("""COMPUTED_VALUE"""),"Se continua con las notificaciones  por lo que la acción continua completada y se sigue haciendo el proceso aunque no mejora la situación.")</f>
        <v>Se continua con las notificaciones  por lo que la acción continua completada y se sigue haciendo el proceso aunque no mejora la situación.</v>
      </c>
      <c r="F70" s="0" t="str">
        <f aca="false">IFERROR(__xludf.dummyfunction("""COMPUTED_VALUE"""),"Completo")</f>
        <v>Completo</v>
      </c>
      <c r="G70" s="0" t="str">
        <f aca="false">IFERROR(__xludf.dummyfunction("""COMPUTED_VALUE"""),"https://drive.google.com/open?id=1tWzmgCSqAFpxYxWoJTdO5TxhKrcSowWZ, https://drive.google.com/open?id=140iDmxqA634GXs_-oYxKX6cZQffhEpIg")</f>
        <v>https://drive.google.com/open?id=1tWzmgCSqAFpxYxWoJTdO5TxhKrcSowWZ, https://drive.google.com/open?id=140iDmxqA634GXs_-oYxKX6cZQffhEpIg</v>
      </c>
    </row>
    <row r="71" customFormat="false" ht="14.25" hidden="false" customHeight="false" outlineLevel="0" collapsed="false">
      <c r="A71" s="18" t="str">
        <f aca="false">IFERROR(MID(D71,1,FIND("|",D71)-1)&amp;"-"&amp;C71,"")</f>
        <v>SICI201803-6-2-2</v>
      </c>
      <c r="B71" s="19" t="n">
        <f aca="false">IFERROR(__xludf.dummyfunction("""COMPUTED_VALUE"""),43853)</f>
        <v>43853</v>
      </c>
      <c r="C71" s="0" t="n">
        <f aca="false">IFERROR(__xludf.dummyfunction("""COMPUTED_VALUE"""),2)</f>
        <v>2</v>
      </c>
      <c r="D71" s="0" t="str">
        <f aca="false">IFERROR(__xludf.dummyfunction("""COMPUTED_VALUE"""),"SICI201803-6-2| Se notificará al área de Caja Menor la necesidad de la gestión de forma inmediata de los medicamentos y dispositivos. (En menos de 24 horas). - 30/12/1899")</f>
        <v>SICI201803-6-2| Se notificará al área de Caja Menor la necesidad de la gestión de forma inmediata de los medicamentos y dispositivos. (En menos de 24 horas). - 30/12/1899</v>
      </c>
      <c r="E71" s="0" t="str">
        <f aca="false">IFERROR(__xludf.dummyfunction("""COMPUTED_VALUE"""),"Se continua con las notificaciones  por lo que la acción continua completada y se sigue haciendo el proceso aunque no mejora la situación.")</f>
        <v>Se continua con las notificaciones  por lo que la acción continua completada y se sigue haciendo el proceso aunque no mejora la situación.</v>
      </c>
      <c r="F71" s="0" t="str">
        <f aca="false">IFERROR(__xludf.dummyfunction("""COMPUTED_VALUE"""),"Completo")</f>
        <v>Completo</v>
      </c>
      <c r="G71" s="0" t="str">
        <f aca="false">IFERROR(__xludf.dummyfunction("""COMPUTED_VALUE"""),"https://drive.google.com/open?id=1wgK0icaIkvjx2sg3KXahAgerqR_6HWmo, https://drive.google.com/open?id=1doLv2LgWvr2g8dMFfFr_W1vfGDOLOFLk")</f>
        <v>https://drive.google.com/open?id=1wgK0icaIkvjx2sg3KXahAgerqR_6HWmo, https://drive.google.com/open?id=1doLv2LgWvr2g8dMFfFr_W1vfGDOLOFLk</v>
      </c>
    </row>
    <row r="72" customFormat="false" ht="14.25" hidden="false" customHeight="false" outlineLevel="0" collapsed="false">
      <c r="A72" s="18" t="str">
        <f aca="false">IFERROR(MID(D72,1,FIND("|",D72)-1)&amp;"-"&amp;C72,"")</f>
        <v>SICI201803-7-1-2</v>
      </c>
      <c r="B72" s="19" t="n">
        <f aca="false">IFERROR(__xludf.dummyfunction("""COMPUTED_VALUE"""),43853)</f>
        <v>43853</v>
      </c>
      <c r="C72" s="0" t="n">
        <f aca="false">IFERROR(__xludf.dummyfunction("""COMPUTED_VALUE"""),2)</f>
        <v>2</v>
      </c>
      <c r="D72" s="0" t="str">
        <f aca="false">IFERROR(__xludf.dummyfunction("""COMPUTED_VALUE"""),"SICI201803-7-1| Se notificará al área de Facturación la problemática referente a la facturación de medicamentos que no son entregados. El proceso adecuado es facturar lo entregado. - 30/04/2019")</f>
        <v>SICI201803-7-1| Se notificará al área de Facturación la problemática referente a la facturación de medicamentos que no son entregados. El proceso adecuado es facturar lo entregado. - 30/04/2019</v>
      </c>
      <c r="E72" s="0" t="str">
        <f aca="false">IFERROR(__xludf.dummyfunction("""COMPUTED_VALUE"""),"Se esta realizando informalmente la verificación de disponibilidad de medicamentos por parte de facturación pero no hay ningún soporte oficial  por lo que se debe propender tener un soporte  de dicha notificación.")</f>
        <v>Se esta realizando informalmente la verificación de disponibilidad de medicamentos por parte de facturación pero no hay ningún soporte oficial  por lo que se debe propender tener un soporte  de dicha notificación.</v>
      </c>
      <c r="F72" s="0" t="str">
        <f aca="false">IFERROR(__xludf.dummyfunction("""COMPUTED_VALUE"""),"Atrasado")</f>
        <v>Atrasado</v>
      </c>
    </row>
    <row r="73" customFormat="false" ht="14.25" hidden="false" customHeight="false" outlineLevel="0" collapsed="false">
      <c r="A73" s="18" t="str">
        <f aca="false">IFERROR(MID(D73,1,FIND("|",D73)-1)&amp;"-"&amp;C73,"")</f>
        <v>SICI201803-7-2-2</v>
      </c>
      <c r="B73" s="19" t="n">
        <f aca="false">IFERROR(__xludf.dummyfunction("""COMPUTED_VALUE"""),43853)</f>
        <v>43853</v>
      </c>
      <c r="C73" s="0" t="n">
        <f aca="false">IFERROR(__xludf.dummyfunction("""COMPUTED_VALUE"""),2)</f>
        <v>2</v>
      </c>
      <c r="D73" s="0" t="str">
        <f aca="false">IFERROR(__xludf.dummyfunction("""COMPUTED_VALUE"""),"SICI201803-7-2| Se solicitará al área de facturación instructivo para el manejo del cobro directo y que no se vea afectado el paciente. - 30/12/1899")</f>
        <v>SICI201803-7-2| Se solicitará al área de facturación instructivo para el manejo del cobro directo y que no se vea afectado el paciente. - 30/12/1899</v>
      </c>
      <c r="E73" s="0" t="str">
        <f aca="false">IFERROR(__xludf.dummyfunction("""COMPUTED_VALUE"""),"No se ha realizado ninguna acción sobre este tema ")</f>
        <v>No se ha realizado ninguna acción sobre este tema </v>
      </c>
      <c r="F73" s="0" t="str">
        <f aca="false">IFERROR(__xludf.dummyfunction("""COMPUTED_VALUE"""),"Atrasado")</f>
        <v>Atrasado</v>
      </c>
    </row>
    <row r="74" customFormat="false" ht="14.25" hidden="false" customHeight="false" outlineLevel="0" collapsed="false">
      <c r="A74" s="18" t="str">
        <f aca="false">IFERROR(MID(D74,1,FIND("|",D74)-1)&amp;"-"&amp;C74,"")</f>
        <v>SICI201803-8-1-2</v>
      </c>
      <c r="B74" s="19" t="n">
        <f aca="false">IFERROR(__xludf.dummyfunction("""COMPUTED_VALUE"""),43853)</f>
        <v>43853</v>
      </c>
      <c r="C74" s="0" t="n">
        <f aca="false">IFERROR(__xludf.dummyfunction("""COMPUTED_VALUE"""),2)</f>
        <v>2</v>
      </c>
      <c r="D74" s="0" t="str">
        <f aca="false">IFERROR(__xludf.dummyfunction("""COMPUTED_VALUE"""),"SICI201803-8-1| Se generará instrumento (formato) en el cual se puedan registrar los movimientos generados en cada sede y se refllejen los préstamos con sus respectivos traslados y responsables de dicha actividad. - 01/05/2019")</f>
        <v>SICI201803-8-1| Se generará instrumento (formato) en el cual se puedan registrar los movimientos generados en cada sede y se refllejen los préstamos con sus respectivos traslados y responsables de dicha actividad. - 01/05/2019</v>
      </c>
      <c r="E74" s="0" t="str">
        <f aca="false">IFERROR(__xludf.dummyfunction("""COMPUTED_VALUE"""),"se tiene como herramienta  la descarga de movimientos del sistema de los traslados  entre las sedes se deja evidencia")</f>
        <v>se tiene como herramienta  la descarga de movimientos del sistema de los traslados  entre las sedes se deja evidencia</v>
      </c>
      <c r="F74" s="0" t="str">
        <f aca="false">IFERROR(__xludf.dummyfunction("""COMPUTED_VALUE"""),"Completo")</f>
        <v>Completo</v>
      </c>
      <c r="G74" s="0" t="str">
        <f aca="false">IFERROR(__xludf.dummyfunction("""COMPUTED_VALUE"""),"https://drive.google.com/open?id=1vBnxpmLPuqH-w_A1R6VNLfsv7salLvE1, https://drive.google.com/open?id=1hqDMffFDm6MQ7Z3hf30s5F6hP2YCe1bJ")</f>
        <v>https://drive.google.com/open?id=1vBnxpmLPuqH-w_A1R6VNLfsv7salLvE1, https://drive.google.com/open?id=1hqDMffFDm6MQ7Z3hf30s5F6hP2YCe1bJ</v>
      </c>
    </row>
    <row r="75" customFormat="false" ht="14.25" hidden="false" customHeight="false" outlineLevel="0" collapsed="false">
      <c r="A75" s="18" t="str">
        <f aca="false">IFERROR(MID(D75,1,FIND("|",D75)-1)&amp;"-"&amp;C75,"")</f>
        <v>SICI201803-13-1-2</v>
      </c>
      <c r="B75" s="19" t="n">
        <f aca="false">IFERROR(__xludf.dummyfunction("""COMPUTED_VALUE"""),43853)</f>
        <v>43853</v>
      </c>
      <c r="C75" s="0" t="n">
        <f aca="false">IFERROR(__xludf.dummyfunction("""COMPUTED_VALUE"""),2)</f>
        <v>2</v>
      </c>
      <c r="D75" s="0" t="str">
        <f aca="false">IFERROR(__xludf.dummyfunction("""COMPUTED_VALUE"""),"SICI201803-13-1| El servicio farmacéutico notificará al área de contingencia de facturación las caídas constantes de sistema vía correo electrónico y whatsapp. - 31/05/2019")</f>
        <v>SICI201803-13-1| El servicio farmacéutico notificará al área de contingencia de facturación las caídas constantes de sistema vía correo electrónico y whatsapp. - 31/05/2019</v>
      </c>
      <c r="E75" s="0" t="str">
        <f aca="false">IFERROR(__xludf.dummyfunction("""COMPUTED_VALUE"""),"Se continua con la notificación de las caídas del sistema y de pacientes que no permite cargara  acción completada desde el seguimiento anterior")</f>
        <v>Se continua con la notificación de las caídas del sistema y de pacientes que no permite cargara  acción completada desde el seguimiento anterior</v>
      </c>
      <c r="F75" s="0" t="str">
        <f aca="false">IFERROR(__xludf.dummyfunction("""COMPUTED_VALUE"""),"Completo")</f>
        <v>Completo</v>
      </c>
      <c r="G75" s="0" t="str">
        <f aca="false">IFERROR(__xludf.dummyfunction("""COMPUTED_VALUE"""),"https://drive.google.com/open?id=1Me4xzCKI7XJpEGfmMHisdbe14GPuO2gP, https://drive.google.com/open?id=1VB0TBYIh5-EUANeBHPB-Bb74aKUkVzGs")</f>
        <v>https://drive.google.com/open?id=1Me4xzCKI7XJpEGfmMHisdbe14GPuO2gP, https://drive.google.com/open?id=1VB0TBYIh5-EUANeBHPB-Bb74aKUkVzGs</v>
      </c>
    </row>
    <row r="76" customFormat="false" ht="14.25" hidden="false" customHeight="false" outlineLevel="0" collapsed="false">
      <c r="A76" s="18" t="str">
        <f aca="false">IFERROR(MID(D76,1,FIND("|",D76)-1)&amp;"-"&amp;C76,"")</f>
        <v>SICI201803-13-2-2</v>
      </c>
      <c r="B76" s="19" t="n">
        <f aca="false">IFERROR(__xludf.dummyfunction("""COMPUTED_VALUE"""),43853)</f>
        <v>43853</v>
      </c>
      <c r="C76" s="0" t="n">
        <f aca="false">IFERROR(__xludf.dummyfunction("""COMPUTED_VALUE"""),2)</f>
        <v>2</v>
      </c>
      <c r="D76" s="0" t="str">
        <f aca="false">IFERROR(__xludf.dummyfunction("""COMPUTED_VALUE"""),"SICI201803-13-2| El Servicio farmacéutico notificará al área de facturación y/o admisiones cuando se requiera de apertura de cuentas con el fin de realizar el cargue respectivo o informar sobre novedades de pacientes. Así mimo se solicitará a éstas áreas "&amp;"que las cuentas sean abiertas de forma oportuna (menos de 24 horas) - 30/12/1899")</f>
        <v>SICI201803-13-2| El Servicio farmacéutico notificará al área de facturación y/o admisiones cuando se requiera de apertura de cuentas con el fin de realizar el cargue respectivo o informar sobre novedades de pacientes. Así mimo se solicitará a éstas áreas que las cuentas sean abiertas de forma oportuna (menos de 24 horas) - 30/12/1899</v>
      </c>
      <c r="E76" s="0" t="str">
        <f aca="false">IFERROR(__xludf.dummyfunction("""COMPUTED_VALUE"""),"Se revisa y aun se siguen realizando las notificaciones a facturación para apertura y novedades de los pacientes.")</f>
        <v>Se revisa y aun se siguen realizando las notificaciones a facturación para apertura y novedades de los pacientes.</v>
      </c>
      <c r="F76" s="0" t="str">
        <f aca="false">IFERROR(__xludf.dummyfunction("""COMPUTED_VALUE"""),"Completo")</f>
        <v>Completo</v>
      </c>
      <c r="G76" s="20" t="str">
        <f aca="false">IFERROR(__xludf.dummyfunction("""COMPUTED_VALUE"""),"https://drive.google.com/open?id=1oW7cyiD5gD2328EQSO6Sm5hgqSz4T_ez")</f>
        <v>https://drive.google.com/open?id=1oW7cyiD5gD2328EQSO6Sm5hgqSz4T_ez</v>
      </c>
    </row>
    <row r="77" customFormat="false" ht="14.25" hidden="false" customHeight="false" outlineLevel="0" collapsed="false">
      <c r="A77" s="18" t="str">
        <f aca="false">IFERROR(MID(D77,1,FIND("|",D77)-1)&amp;"-"&amp;C77,"")</f>
        <v>SICI201803-13-3-2</v>
      </c>
      <c r="B77" s="19" t="n">
        <f aca="false">IFERROR(__xludf.dummyfunction("""COMPUTED_VALUE"""),43853)</f>
        <v>43853</v>
      </c>
      <c r="C77" s="0" t="n">
        <f aca="false">IFERROR(__xludf.dummyfunction("""COMPUTED_VALUE"""),2)</f>
        <v>2</v>
      </c>
      <c r="D77" s="0" t="str">
        <f aca="false">IFERROR(__xludf.dummyfunction("""COMPUTED_VALUE"""),"SICI201803-13-3| El Servicio farmacéutico notificará al área de suministros (almacenes) acerca de la necesidad de ajustar sus procesos para evitar valores negativos que impidan el cargue en el sistema. - 30/12/1899")</f>
        <v>SICI201803-13-3| El Servicio farmacéutico notificará al área de suministros (almacenes) acerca de la necesidad de ajustar sus procesos para evitar valores negativos que impidan el cargue en el sistema. - 30/12/1899</v>
      </c>
      <c r="E77" s="0" t="str">
        <f aca="false">IFERROR(__xludf.dummyfunction("""COMPUTED_VALUE"""),"la acción se cerró en el seguimiento anterior, los valores negativos pueden presentarse por actualizaciones de software o cuando corren procesos de sistemas se siguen notificando cuando sucede.  ")</f>
        <v>la acción se cerró en el seguimiento anterior, los valores negativos pueden presentarse por actualizaciones de software o cuando corren procesos de sistemas se siguen notificando cuando sucede.  </v>
      </c>
      <c r="F77" s="0" t="str">
        <f aca="false">IFERROR(__xludf.dummyfunction("""COMPUTED_VALUE"""),"Completo")</f>
        <v>Completo</v>
      </c>
      <c r="G77" s="20" t="str">
        <f aca="false">IFERROR(__xludf.dummyfunction("""COMPUTED_VALUE"""),"https://drive.google.com/open?id=1rNqTmfCXlA6D5GuszSC7SuKHecEQeafv")</f>
        <v>https://drive.google.com/open?id=1rNqTmfCXlA6D5GuszSC7SuKHecEQeafv</v>
      </c>
    </row>
    <row r="78" customFormat="false" ht="14.25" hidden="false" customHeight="false" outlineLevel="0" collapsed="false">
      <c r="A78" s="18" t="str">
        <f aca="false">IFERROR(MID(D78,1,FIND("|",D78)-1)&amp;"-"&amp;C78,"")</f>
        <v>SICI201803-13-4-2</v>
      </c>
      <c r="B78" s="19" t="n">
        <f aca="false">IFERROR(__xludf.dummyfunction("""COMPUTED_VALUE"""),43853)</f>
        <v>43853</v>
      </c>
      <c r="C78" s="0" t="n">
        <f aca="false">IFERROR(__xludf.dummyfunction("""COMPUTED_VALUE"""),2)</f>
        <v>2</v>
      </c>
      <c r="D78" s="0" t="str">
        <f aca="false">IFERROR(__xludf.dummyfunction("""COMPUTED_VALUE"""),"SICI201803-13-4| Se solicitará al área de suministros (almacenes) ajustar el proceso de traslado de medicamentos y/o insumos a la farmacia indicando que es necesario que lo que sea cargado en el sistema por parte de los almacénes debe ser entregado oportu"&amp;"namente a las farmacias para que los saldos físicos coincidan con los saldos en sistema. - 30/12/1899")</f>
        <v>SICI201803-13-4| Se solicitará al área de suministros (almacenes) ajustar el proceso de traslado de medicamentos y/o insumos a la farmacia indicando que es necesario que lo que sea cargado en el sistema por parte de los almacénes debe ser entregado oportunamente a las farmacias para que los saldos físicos coincidan con los saldos en sistema. - 30/12/1899</v>
      </c>
      <c r="E78" s="0" t="str">
        <f aca="false">IFERROR(__xludf.dummyfunction("""COMPUTED_VALUE"""),"Se mantiene la tarea de informar a almacen,  solicitando el cargue de los traslados para mantener al día el sistema, no se presenta ya tan frecuente. la acción ya está completa")</f>
        <v>Se mantiene la tarea de informar a almacen,  solicitando el cargue de los traslados para mantener al día el sistema, no se presenta ya tan frecuente. la acción ya está completa</v>
      </c>
      <c r="F78" s="0" t="str">
        <f aca="false">IFERROR(__xludf.dummyfunction("""COMPUTED_VALUE"""),"Completo")</f>
        <v>Completo</v>
      </c>
      <c r="G78" s="20" t="str">
        <f aca="false">IFERROR(__xludf.dummyfunction("""COMPUTED_VALUE"""),"https://drive.google.com/open?id=1BZKObiaBgC5qMBCCygoA6mXgzuC6euk_")</f>
        <v>https://drive.google.com/open?id=1BZKObiaBgC5qMBCCygoA6mXgzuC6euk_</v>
      </c>
    </row>
    <row r="79" customFormat="false" ht="14.25" hidden="false" customHeight="false" outlineLevel="0" collapsed="false">
      <c r="A79" s="18" t="str">
        <f aca="false">IFERROR(MID(D79,1,FIND("|",D79)-1)&amp;"-"&amp;C79,"")</f>
        <v>SICI201803-13-5-2</v>
      </c>
      <c r="B79" s="19" t="n">
        <f aca="false">IFERROR(__xludf.dummyfunction("""COMPUTED_VALUE"""),43853)</f>
        <v>43853</v>
      </c>
      <c r="C79" s="0" t="n">
        <f aca="false">IFERROR(__xludf.dummyfunction("""COMPUTED_VALUE"""),2)</f>
        <v>2</v>
      </c>
      <c r="D79" s="0" t="str">
        <f aca="false">IFERROR(__xludf.dummyfunction("""COMPUTED_VALUE"""),"SICI201803-13-5| Se notificará al personal asistencial que el servicio farmacéutico no entregará medicamentos y/o insumos sin que se allegue la respectiva prescripción médica en cumplimiento con la normatividad vigente a menos que previamente se haya agot"&amp;"ado la opción del uso del carro de paro y que se trate de un medicamento o insumo para tratar un caso de urgencia vital. Lo anterior de acuerdo a decisión tomada en Comité de Farmacia y Terapéutica de Enero de 2019. - 30/12/1899")</f>
        <v>SICI201803-13-5| Se notificará al personal asistencial que el servicio farmacéutico no entregará medicamentos y/o insumos sin que se allegue la respectiva prescripción médica en cumplimiento con la normatividad vigente a menos que previamente se haya agotado la opción del uso del carro de paro y que se trate de un medicamento o insumo para tratar un caso de urgencia vital. Lo anterior de acuerdo a decisión tomada en Comité de Farmacia y Terapéutica de Enero de 2019. - 30/12/1899</v>
      </c>
      <c r="E79" s="0" t="str">
        <f aca="false">IFERROR(__xludf.dummyfunction("""COMPUTED_VALUE"""),"Pendiente revisión de comunicado")</f>
        <v>Pendiente revisión de comunicado</v>
      </c>
      <c r="F79" s="0" t="str">
        <f aca="false">IFERROR(__xludf.dummyfunction("""COMPUTED_VALUE"""),"Atrasado")</f>
        <v>Atrasado</v>
      </c>
    </row>
    <row r="80" customFormat="false" ht="14.25" hidden="false" customHeight="false" outlineLevel="0" collapsed="false">
      <c r="A80" s="18" t="str">
        <f aca="false">IFERROR(MID(D80,1,FIND("|",D80)-1)&amp;"-"&amp;C80,"")</f>
        <v>SICI201803-13-6-2</v>
      </c>
      <c r="B80" s="19" t="n">
        <f aca="false">IFERROR(__xludf.dummyfunction("""COMPUTED_VALUE"""),43853)</f>
        <v>43853</v>
      </c>
      <c r="C80" s="0" t="n">
        <f aca="false">IFERROR(__xludf.dummyfunction("""COMPUTED_VALUE"""),2)</f>
        <v>2</v>
      </c>
      <c r="D80" s="0" t="str">
        <f aca="false">IFERROR(__xludf.dummyfunction("""COMPUTED_VALUE"""),"SICI201803-13-6| Se solicitará al área encargada el recurso humano faltante en cada una de las Unidades de la subred. - 30/12/1899")</f>
        <v>SICI201803-13-6| Se solicitará al área encargada el recurso humano faltante en cada una de las Unidades de la subred. - 30/12/1899</v>
      </c>
      <c r="E80" s="0" t="str">
        <f aca="false">IFERROR(__xludf.dummyfunction("""COMPUTED_VALUE"""),"Continua la situación de faltantes de recurso humano para el servicio  se sigue solicitando el persona a la dirección de complementarios")</f>
        <v>Continua la situación de faltantes de recurso humano para el servicio  se sigue solicitando el persona a la dirección de complementarios</v>
      </c>
      <c r="F80" s="0" t="str">
        <f aca="false">IFERROR(__xludf.dummyfunction("""COMPUTED_VALUE"""),"Completo")</f>
        <v>Completo</v>
      </c>
      <c r="G80" s="0" t="str">
        <f aca="false">IFERROR(__xludf.dummyfunction("""COMPUTED_VALUE"""),"https://drive.google.com/open?id=1j_7BnUpqGXeOX7IGoQ_NGZaXqn77DoJY, https://drive.google.com/open?id=1s2FTsAoqFvo61eGQQI8a8VOE2kH3INIR")</f>
        <v>https://drive.google.com/open?id=1j_7BnUpqGXeOX7IGoQ_NGZaXqn77DoJY, https://drive.google.com/open?id=1s2FTsAoqFvo61eGQQI8a8VOE2kH3INIR</v>
      </c>
    </row>
    <row r="81" customFormat="false" ht="14.25" hidden="false" customHeight="false" outlineLevel="0" collapsed="false">
      <c r="A81" s="18" t="str">
        <f aca="false">IFERROR(MID(D81,1,FIND("|",D81)-1)&amp;"-"&amp;C81,"")</f>
        <v>SICI201803-13-7-2</v>
      </c>
      <c r="B81" s="19" t="n">
        <f aca="false">IFERROR(__xludf.dummyfunction("""COMPUTED_VALUE"""),43853)</f>
        <v>43853</v>
      </c>
      <c r="C81" s="0" t="n">
        <f aca="false">IFERROR(__xludf.dummyfunction("""COMPUTED_VALUE"""),2)</f>
        <v>2</v>
      </c>
      <c r="D81" s="0" t="str">
        <f aca="false">IFERROR(__xludf.dummyfunction("""COMPUTED_VALUE"""),"SICI201803-13-7| Se Solicitará al área de suministros (almacenes) la indicacion para los casos en los cuales se pueda implementar el Concepto 105. - 30/12/1899")</f>
        <v>SICI201803-13-7| Se Solicitará al área de suministros (almacenes) la indicacion para los casos en los cuales se pueda implementar el Concepto 105. - 30/12/1899</v>
      </c>
      <c r="E81" s="0" t="str">
        <f aca="false">IFERROR(__xludf.dummyfunction("""COMPUTED_VALUE"""),"Se realizó un trabajo con el área de suministros de diferenciación de conceptos que se cargan en el sistema, para que exista una mejor clasificación de dichos conceptos así como la depuración de usuarios retirando los inactivos y estandarización de los pr"&amp;"ivilegios de cargue por perfil de cargo, eliminando la posibilidad de cargue del concepto 105 reduciendo asi el riesgo.")</f>
        <v>Se realizó un trabajo con el área de suministros de diferenciación de conceptos que se cargan en el sistema, para que exista una mejor clasificación de dichos conceptos así como la depuración de usuarios retirando los inactivos y estandarización de los privilegios de cargue por perfil de cargo, eliminando la posibilidad de cargue del concepto 105 reduciendo asi el riesgo.</v>
      </c>
      <c r="F81" s="0" t="str">
        <f aca="false">IFERROR(__xludf.dummyfunction("""COMPUTED_VALUE"""),"Completo")</f>
        <v>Completo</v>
      </c>
      <c r="G81" s="0" t="str">
        <f aca="false">IFERROR(__xludf.dummyfunction("""COMPUTED_VALUE"""),"https://drive.google.com/open?id=1-c6_JjRnXqpkcfBSUCwDNCfmgNUEYPv5, https://drive.google.com/open?id=14dhWgex5ww63LGYT2REdzbMGtJ98GZf6, https://drive.google.com/open?id=1jfgX3dVz47s12anRdUDLdO22dhEefy0e")</f>
        <v>https://drive.google.com/open?id=1-c6_JjRnXqpkcfBSUCwDNCfmgNUEYPv5, https://drive.google.com/open?id=14dhWgex5ww63LGYT2REdzbMGtJ98GZf6, https://drive.google.com/open?id=1jfgX3dVz47s12anRdUDLdO22dhEefy0e</v>
      </c>
    </row>
    <row r="82" customFormat="false" ht="14.25" hidden="false" customHeight="false" outlineLevel="0" collapsed="false">
      <c r="A82" s="18" t="str">
        <f aca="false">IFERROR(MID(D82,1,FIND("|",D82)-1)&amp;"-"&amp;C82,"")</f>
        <v>SICI201803-14-1-2</v>
      </c>
      <c r="B82" s="19" t="n">
        <f aca="false">IFERROR(__xludf.dummyfunction("""COMPUTED_VALUE"""),43853)</f>
        <v>43853</v>
      </c>
      <c r="C82" s="0" t="n">
        <f aca="false">IFERROR(__xludf.dummyfunction("""COMPUTED_VALUE"""),2)</f>
        <v>2</v>
      </c>
      <c r="D82" s="0" t="str">
        <f aca="false">IFERROR(__xludf.dummyfunction("""COMPUTED_VALUE"""),"SICI201803-14-1| Se generará una lista de chequeo para verificar periodicamente (cada 4 meses): a) el cumplimiento de la calibracion y/o mantenimiento de los instrumentos de medicion encontrados en el servicio farmaceutico, b) señalizacion adecuada de la "&amp;"areas de la farmacia y rutas de evacuación. - 31/05/2019")</f>
        <v>SICI201803-14-1| Se generará una lista de chequeo para verificar periodicamente (cada 4 meses): a) el cumplimiento de la calibracion y/o mantenimiento de los instrumentos de medicion encontrados en el servicio farmaceutico, b) señalizacion adecuada de la areas de la farmacia y rutas de evacuación. - 31/05/2019</v>
      </c>
      <c r="E82" s="0" t="str">
        <f aca="false">IFERROR(__xludf.dummyfunction("""COMPUTED_VALUE"""),"Aun no se tiene el check list de verificación de los requerimientos de calibracion, mantenimiento y señalizacion.")</f>
        <v>Aun no se tiene el check list de verificación de los requerimientos de calibracion, mantenimiento y señalizacion.</v>
      </c>
      <c r="F82" s="0" t="str">
        <f aca="false">IFERROR(__xludf.dummyfunction("""COMPUTED_VALUE"""),"Atrasado")</f>
        <v>Atrasado</v>
      </c>
    </row>
    <row r="83" customFormat="false" ht="14.25" hidden="false" customHeight="false" outlineLevel="0" collapsed="false">
      <c r="A83" s="18" t="str">
        <f aca="false">IFERROR(MID(D83,1,FIND("|",D83)-1)&amp;"-"&amp;C83,"")</f>
        <v>SICI201803-15-1-2</v>
      </c>
      <c r="B83" s="19" t="n">
        <f aca="false">IFERROR(__xludf.dummyfunction("""COMPUTED_VALUE"""),43853)</f>
        <v>43853</v>
      </c>
      <c r="C83" s="0" t="n">
        <f aca="false">IFERROR(__xludf.dummyfunction("""COMPUTED_VALUE"""),2)</f>
        <v>2</v>
      </c>
      <c r="D83" s="0" t="str">
        <f aca="false">IFERROR(__xludf.dummyfunction("""COMPUTED_VALUE"""),"SICI201803-15-1| Se actualizarán instrutivos de control de fechas de vencimientos y manejo de carro de paro y equipo de reanimacion; estandarizando el proceso de semaforización de acuerdo al manual de buenas practicas de almacenamiento de la subred. - 31/"&amp;"08/2019")</f>
        <v>SICI201803-15-1| Se actualizarán instrutivos de control de fechas de vencimientos y manejo de carro de paro y equipo de reanimacion; estandarizando el proceso de semaforización de acuerdo al manual de buenas practicas de almacenamiento de la subred. - 31/08/2019</v>
      </c>
      <c r="E83" s="0" t="str">
        <f aca="false">IFERROR(__xludf.dummyfunction("""COMPUTED_VALUE"""),"Aun no se ha normalizado , ni implementado pero se está trabajando en la revisión de los procedimientos pero falta finiquitar y terminarlo para ponerlo en practica")</f>
        <v>Aun no se ha normalizado , ni implementado pero se está trabajando en la revisión de los procedimientos pero falta finiquitar y terminarlo para ponerlo en practica</v>
      </c>
      <c r="F83" s="0" t="str">
        <f aca="false">IFERROR(__xludf.dummyfunction("""COMPUTED_VALUE"""),"En desarrollo")</f>
        <v>En desarrollo</v>
      </c>
      <c r="G83" s="20" t="str">
        <f aca="false">IFERROR(__xludf.dummyfunction("""COMPUTED_VALUE"""),"https://drive.google.com/open?id=13JOH8-ImuO0CZGN_maXWu0SX271k4zZj")</f>
        <v>https://drive.google.com/open?id=13JOH8-ImuO0CZGN_maXWu0SX271k4zZj</v>
      </c>
    </row>
    <row r="84" customFormat="false" ht="14.25" hidden="false" customHeight="false" outlineLevel="0" collapsed="false">
      <c r="A84" s="18" t="str">
        <f aca="false">IFERROR(MID(D84,1,FIND("|",D84)-1)&amp;"-"&amp;C84,"")</f>
        <v>SICI201803-15-2-2</v>
      </c>
      <c r="B84" s="19" t="n">
        <f aca="false">IFERROR(__xludf.dummyfunction("""COMPUTED_VALUE"""),43853)</f>
        <v>43853</v>
      </c>
      <c r="C84" s="0" t="n">
        <f aca="false">IFERROR(__xludf.dummyfunction("""COMPUTED_VALUE"""),2)</f>
        <v>2</v>
      </c>
      <c r="D84" s="0" t="str">
        <f aca="false">IFERROR(__xludf.dummyfunction("""COMPUTED_VALUE"""),"SICI201803-15-2| Se señalizará un área específica para ubicar los medicamentos y/o dispositivos medicos vencidos en dónde los mismos se almacenarán en una bolsa roja rotulada como ""RESIDUOS QUIMICOS"" mientras se realiza el respectivo comité de inventari"&amp;"os para la disposición final de los mismos por parte de gestión ambiental. - 30/12/1899")</f>
        <v>SICI201803-15-2| Se señalizará un área específica para ubicar los medicamentos y/o dispositivos medicos vencidos en dónde los mismos se almacenarán en una bolsa roja rotulada como "RESIDUOS QUIMICOS" mientras se realiza el respectivo comité de inventarios para la disposición final de los mismos por parte de gestión ambiental. - 30/12/1899</v>
      </c>
      <c r="E84" s="0" t="str">
        <f aca="false">IFERROR(__xludf.dummyfunction("""COMPUTED_VALUE"""),"Se mantienen las actividades de rotulación de productos vencidos y demarcación de los residuos,  dando como resultado que la acción continua completada ")</f>
        <v>Se mantienen las actividades de rotulación de productos vencidos y demarcación de los residuos,  dando como resultado que la acción continua completada </v>
      </c>
      <c r="F84" s="0" t="str">
        <f aca="false">IFERROR(__xludf.dummyfunction("""COMPUTED_VALUE"""),"Completo")</f>
        <v>Completo</v>
      </c>
      <c r="G84" s="0" t="str">
        <f aca="false">IFERROR(__xludf.dummyfunction("""COMPUTED_VALUE"""),"https://drive.google.com/open?id=1uZQYfCqF1mhKxLsTTgtWtbfV9dwkIhO8, https://drive.google.com/open?id=19Gbz5m9LOuSQosUTyIkdonZ-s51LcfCm, https://drive.google.com/open?id=1zDrL5yAxA697hIoZADoFsZG2AXSWBNra, https://drive.google.com/open?id=1pDjuwBjAB6egGgZdU"&amp;"VGEn-DmjwnGt3TP, https://drive.google.com/open?id=1b-I8o6GPoYoymhqDd8ncV0FVGq1tIdyx")</f>
        <v>https://drive.google.com/open?id=1uZQYfCqF1mhKxLsTTgtWtbfV9dwkIhO8, https://drive.google.com/open?id=19Gbz5m9LOuSQosUTyIkdonZ-s51LcfCm, https://drive.google.com/open?id=1zDrL5yAxA697hIoZADoFsZG2AXSWBNra, https://drive.google.com/open?id=1pDjuwBjAB6egGgZdUVGEn-DmjwnGt3TP, https://drive.google.com/open?id=1b-I8o6GPoYoymhqDd8ncV0FVGq1tIdyx</v>
      </c>
    </row>
    <row r="85" customFormat="false" ht="14.25" hidden="false" customHeight="false" outlineLevel="0" collapsed="false">
      <c r="A85" s="18" t="str">
        <f aca="false">IFERROR(MID(D85,1,FIND("|",D85)-1)&amp;"-"&amp;C85,"")</f>
        <v>SICI201803-15-3-2</v>
      </c>
      <c r="B85" s="19" t="n">
        <f aca="false">IFERROR(__xludf.dummyfunction("""COMPUTED_VALUE"""),43853)</f>
        <v>43853</v>
      </c>
      <c r="C85" s="0" t="n">
        <f aca="false">IFERROR(__xludf.dummyfunction("""COMPUTED_VALUE"""),2)</f>
        <v>2</v>
      </c>
      <c r="D85" s="0" t="str">
        <f aca="false">IFERROR(__xludf.dummyfunction("""COMPUTED_VALUE"""),"SICI201803-15-3| Se implementará instrumento mediante el cual el personal asistencial relacionará los medicamentos y/o insumos que requieran devolver al servicio farmacéutico por novedades como: próximos a vencer de carros de paro, sobrantes, entre otros."&amp;" - 30/12/1899")</f>
        <v>SICI201803-15-3| Se implementará instrumento mediante el cual el personal asistencial relacionará los medicamentos y/o insumos que requieran devolver al servicio farmacéutico por novedades como: próximos a vencer de carros de paro, sobrantes, entre otros. - 30/12/1899</v>
      </c>
      <c r="E85" s="0" t="str">
        <f aca="false">IFERROR(__xludf.dummyfunction("""COMPUTED_VALUE"""),"Se sigue utilizando el instrumento indicado como apertura de carro de paro, esta accion se cerro en el seguimiento anterior.  ")</f>
        <v>Se sigue utilizando el instrumento indicado como apertura de carro de paro, esta accion se cerro en el seguimiento anterior.  </v>
      </c>
      <c r="F85" s="0" t="str">
        <f aca="false">IFERROR(__xludf.dummyfunction("""COMPUTED_VALUE"""),"Completo")</f>
        <v>Completo</v>
      </c>
      <c r="G85" s="20" t="str">
        <f aca="false">IFERROR(__xludf.dummyfunction("""COMPUTED_VALUE"""),"https://drive.google.com/open?id=1WdL7JOXj1Q4SOrkJcaqfOi5gV8vbeYqg")</f>
        <v>https://drive.google.com/open?id=1WdL7JOXj1Q4SOrkJcaqfOi5gV8vbeYqg</v>
      </c>
    </row>
    <row r="86" customFormat="false" ht="14.25" hidden="false" customHeight="false" outlineLevel="0" collapsed="false">
      <c r="A86" s="18" t="str">
        <f aca="false">IFERROR(MID(D86,1,FIND("|",D86)-1)&amp;"-"&amp;C86,"")</f>
        <v>SICI201803-15-4-2</v>
      </c>
      <c r="B86" s="19" t="n">
        <f aca="false">IFERROR(__xludf.dummyfunction("""COMPUTED_VALUE"""),43853)</f>
        <v>43853</v>
      </c>
      <c r="C86" s="0" t="n">
        <f aca="false">IFERROR(__xludf.dummyfunction("""COMPUTED_VALUE"""),2)</f>
        <v>2</v>
      </c>
      <c r="D86" s="0" t="str">
        <f aca="false">IFERROR(__xludf.dummyfunction("""COMPUTED_VALUE"""),"SICI201803-15-4| Se solicitará al área de suministros (almacenes) los sticker de color rojo necesarios para la semaforización (FV inferior a 6 meses). - 30/12/1899")</f>
        <v>SICI201803-15-4| Se solicitará al área de suministros (almacenes) los sticker de color rojo necesarios para la semaforización (FV inferior a 6 meses). - 30/12/1899</v>
      </c>
      <c r="E86" s="0" t="str">
        <f aca="false">IFERROR(__xludf.dummyfunction("""COMPUTED_VALUE"""),"Se siguen realizando las solicitudes de sticker rojos a los almacenes por medio de correo electrónico, acción completada desde el seguimiento anterior")</f>
        <v>Se siguen realizando las solicitudes de sticker rojos a los almacenes por medio de correo electrónico, acción completada desde el seguimiento anterior</v>
      </c>
      <c r="F86" s="0" t="str">
        <f aca="false">IFERROR(__xludf.dummyfunction("""COMPUTED_VALUE"""),"Completo")</f>
        <v>Completo</v>
      </c>
      <c r="G86" s="0" t="str">
        <f aca="false">IFERROR(__xludf.dummyfunction("""COMPUTED_VALUE"""),"https://drive.google.com/open?id=1oJanAPQU5A2CTPhstRZaYmE_J0Nqb9aZ, https://drive.google.com/open?id=1yzsEYw42OIXapgLlRBZzG6z6u26Sc0Ic")</f>
        <v>https://drive.google.com/open?id=1oJanAPQU5A2CTPhstRZaYmE_J0Nqb9aZ, https://drive.google.com/open?id=1yzsEYw42OIXapgLlRBZzG6z6u26Sc0Ic</v>
      </c>
    </row>
    <row r="87" customFormat="false" ht="14.25" hidden="false" customHeight="false" outlineLevel="0" collapsed="false">
      <c r="A87" s="18" t="str">
        <f aca="false">IFERROR(MID(D87,1,FIND("|",D87)-1)&amp;"-"&amp;C87,"")</f>
        <v>SICI201803-15-5-2</v>
      </c>
      <c r="B87" s="19" t="n">
        <f aca="false">IFERROR(__xludf.dummyfunction("""COMPUTED_VALUE"""),43853)</f>
        <v>43853</v>
      </c>
      <c r="C87" s="0" t="n">
        <f aca="false">IFERROR(__xludf.dummyfunction("""COMPUTED_VALUE"""),2)</f>
        <v>2</v>
      </c>
      <c r="D87" s="0" t="str">
        <f aca="false">IFERROR(__xludf.dummyfunction("""COMPUTED_VALUE"""),"SICI201803-15-5| Se generará una lista de chequeo para verificar periodicamente (cada 4 meses) el cumplimiento de la calibración de los termohigrómetros y registros actualizados de temperatura y humedad. - 30/12/1899")</f>
        <v>SICI201803-15-5| Se generará una lista de chequeo para verificar periodicamente (cada 4 meses) el cumplimiento de la calibración de los termohigrómetros y registros actualizados de temperatura y humedad. - 30/12/1899</v>
      </c>
      <c r="E87" s="0" t="str">
        <f aca="false">IFERROR(__xludf.dummyfunction("""COMPUTED_VALUE"""),"No se ha normalizado, ni implementado la lista de chequeo aun se esta revisando pero aun no se utiliza. continua en desarrollo")</f>
        <v>No se ha normalizado, ni implementado la lista de chequeo aun se esta revisando pero aun no se utiliza. continua en desarrollo</v>
      </c>
      <c r="F87" s="0" t="str">
        <f aca="false">IFERROR(__xludf.dummyfunction("""COMPUTED_VALUE"""),"En desarrollo")</f>
        <v>En desarrollo</v>
      </c>
    </row>
    <row r="88" customFormat="false" ht="14.25" hidden="false" customHeight="false" outlineLevel="0" collapsed="false">
      <c r="A88" s="18" t="str">
        <f aca="false">IFERROR(MID(D88,1,FIND("|",D88)-1)&amp;"-"&amp;C88,"")</f>
        <v>SICI201803-16-1-2</v>
      </c>
      <c r="B88" s="19" t="n">
        <f aca="false">IFERROR(__xludf.dummyfunction("""COMPUTED_VALUE"""),43853)</f>
        <v>43853</v>
      </c>
      <c r="C88" s="0" t="n">
        <f aca="false">IFERROR(__xludf.dummyfunction("""COMPUTED_VALUE"""),2)</f>
        <v>2</v>
      </c>
      <c r="D88" s="0" t="str">
        <f aca="false">IFERROR(__xludf.dummyfunction("""COMPUTED_VALUE"""),"SICI201803-16-1| Se generará una lista de chequeo para verificar periodicamente (cada 4 meses) el cumplimiento de la calibración de los termohigrómetros. - 30/06/2019")</f>
        <v>SICI201803-16-1| Se generará una lista de chequeo para verificar periodicamente (cada 4 meses) el cumplimiento de la calibración de los termohigrómetros. - 30/06/2019</v>
      </c>
      <c r="E88" s="0" t="str">
        <f aca="false">IFERROR(__xludf.dummyfunction("""COMPUTED_VALUE"""),"no se ha implementado aun la lista de chequeo, continua en desarrollo ")</f>
        <v>no se ha implementado aun la lista de chequeo, continua en desarrollo </v>
      </c>
      <c r="F88" s="0" t="str">
        <f aca="false">IFERROR(__xludf.dummyfunction("""COMPUTED_VALUE"""),"En desarrollo")</f>
        <v>En desarrollo</v>
      </c>
    </row>
    <row r="89" customFormat="false" ht="14.25" hidden="false" customHeight="false" outlineLevel="0" collapsed="false">
      <c r="A89" s="18" t="str">
        <f aca="false">IFERROR(MID(D89,1,FIND("|",D89)-1)&amp;"-"&amp;C89,"")</f>
        <v>SICI201803-16-2-2</v>
      </c>
      <c r="B89" s="19" t="n">
        <f aca="false">IFERROR(__xludf.dummyfunction("""COMPUTED_VALUE"""),43853)</f>
        <v>43853</v>
      </c>
      <c r="C89" s="0" t="n">
        <f aca="false">IFERROR(__xludf.dummyfunction("""COMPUTED_VALUE"""),2)</f>
        <v>2</v>
      </c>
      <c r="D89" s="0" t="str">
        <f aca="false">IFERROR(__xludf.dummyfunction("""COMPUTED_VALUE"""),"SICI201803-16-2| Se socializará al personal del Servicio Farmaceutico el cronograma actualizado de aseo y desinfeccion en las áreas de la farmacia se realizará seguimiento del cumplimiento del mismo (periodicidad :tramos:semanal,neveras: mensual). - 30/12"&amp;"/1899")</f>
        <v>SICI201803-16-2| Se socializará al personal del Servicio Farmaceutico el cronograma actualizado de aseo y desinfeccion en las áreas de la farmacia se realizará seguimiento del cumplimiento del mismo (periodicidad :tramos:semanal,neveras: mensual). - 30/12/1899</v>
      </c>
      <c r="E89" s="0" t="str">
        <f aca="false">IFERROR(__xludf.dummyfunction("""COMPUTED_VALUE"""),"Se mantiene la utilización del cronograma de aseo y desinfeccion de areas de la farmacia, la acción ya esta completada. ")</f>
        <v>Se mantiene la utilización del cronograma de aseo y desinfeccion de areas de la farmacia, la acción ya esta completada. </v>
      </c>
      <c r="F89" s="0" t="str">
        <f aca="false">IFERROR(__xludf.dummyfunction("""COMPUTED_VALUE"""),"Completo")</f>
        <v>Completo</v>
      </c>
      <c r="G89" s="20" t="str">
        <f aca="false">IFERROR(__xludf.dummyfunction("""COMPUTED_VALUE"""),"https://drive.google.com/open?id=1sLS5tqupOQPq6ZM47BjAMAwWn74fYO9C")</f>
        <v>https://drive.google.com/open?id=1sLS5tqupOQPq6ZM47BjAMAwWn74fYO9C</v>
      </c>
    </row>
    <row r="90" customFormat="false" ht="14.25" hidden="false" customHeight="false" outlineLevel="0" collapsed="false">
      <c r="A90" s="18" t="str">
        <f aca="false">IFERROR(MID(D90,1,FIND("|",D90)-1)&amp;"-"&amp;C90,"")</f>
        <v>SICI201803-16-3-2</v>
      </c>
      <c r="B90" s="19" t="n">
        <f aca="false">IFERROR(__xludf.dummyfunction("""COMPUTED_VALUE"""),43853)</f>
        <v>43853</v>
      </c>
      <c r="C90" s="0" t="n">
        <f aca="false">IFERROR(__xludf.dummyfunction("""COMPUTED_VALUE"""),2)</f>
        <v>2</v>
      </c>
      <c r="D90" s="0" t="str">
        <f aca="false">IFERROR(__xludf.dummyfunction("""COMPUTED_VALUE"""),"SICI201803-16-3| Se socializará el plan de gestión integral de residuos hospitalarios (AP-AT-O-01-03) y se realizará segumiento de su cumplimiento. - 30/12/1899")</f>
        <v>SICI201803-16-3| Se socializará el plan de gestión integral de residuos hospitalarios (AP-AT-O-01-03) y se realizará segumiento de su cumplimiento. - 30/12/1899</v>
      </c>
      <c r="E90" s="0" t="str">
        <f aca="false">IFERROR(__xludf.dummyfunction("""COMPUTED_VALUE"""),"Se tiene soporte de capacitación al personal del manejo de residuos y de materiales peligrosos")</f>
        <v>Se tiene soporte de capacitación al personal del manejo de residuos y de materiales peligrosos</v>
      </c>
      <c r="F90" s="0" t="str">
        <f aca="false">IFERROR(__xludf.dummyfunction("""COMPUTED_VALUE"""),"Completo")</f>
        <v>Completo</v>
      </c>
      <c r="G90" s="0" t="str">
        <f aca="false">IFERROR(__xludf.dummyfunction("""COMPUTED_VALUE"""),"https://drive.google.com/open?id=1EGX3uQ2Trh5DZAZsZvhjKtDONbkVKg_B, https://drive.google.com/open?id=10s9FnOundLlcM6BxknhxnqlpdDBq4wFo")</f>
        <v>https://drive.google.com/open?id=1EGX3uQ2Trh5DZAZsZvhjKtDONbkVKg_B, https://drive.google.com/open?id=10s9FnOundLlcM6BxknhxnqlpdDBq4wFo</v>
      </c>
    </row>
    <row r="91" customFormat="false" ht="14.25" hidden="false" customHeight="false" outlineLevel="0" collapsed="false">
      <c r="A91" s="18" t="str">
        <f aca="false">IFERROR(MID(D91,1,FIND("|",D91)-1)&amp;"-"&amp;C91,"")</f>
        <v>SICI201803-17-1-2</v>
      </c>
      <c r="B91" s="19" t="n">
        <f aca="false">IFERROR(__xludf.dummyfunction("""COMPUTED_VALUE"""),43853)</f>
        <v>43853</v>
      </c>
      <c r="C91" s="0" t="n">
        <f aca="false">IFERROR(__xludf.dummyfunction("""COMPUTED_VALUE"""),2)</f>
        <v>2</v>
      </c>
      <c r="D91" s="0" t="str">
        <f aca="false">IFERROR(__xludf.dummyfunction("""COMPUTED_VALUE"""),"SICI201803-17-1| Se notificarán al área de subgerencia administrativa los requerimientos relacionados con infraestructura, mobiliario, estibas y otros elementos importantes para el funcionamiento del servicio farmacéutico y el respectivo cumplimiento de l"&amp;"a normatividad vigente (Resolución 1402 de 2007, Resolución 2003 de 2014). - 31/05/2019")</f>
        <v>SICI201803-17-1| Se notificarán al área de subgerencia administrativa los requerimientos relacionados con infraestructura, mobiliario, estibas y otros elementos importantes para el funcionamiento del servicio farmacéutico y el respectivo cumplimiento de la normatividad vigente (Resolución 1402 de 2007, Resolución 2003 de 2014). - 31/05/2019</v>
      </c>
      <c r="E91" s="0" t="str">
        <f aca="false">IFERROR(__xludf.dummyfunction("""COMPUTED_VALUE"""),"Se presentan soportes de solicitud por parte del servicio de farmacia sobre requerimientos de infraestructura y mobiliario así como de requerimientos de mejoras en las instalaciones del servicio farmacéutico.")</f>
        <v>Se presentan soportes de solicitud por parte del servicio de farmacia sobre requerimientos de infraestructura y mobiliario así como de requerimientos de mejoras en las instalaciones del servicio farmacéutico.</v>
      </c>
      <c r="F91" s="0" t="str">
        <f aca="false">IFERROR(__xludf.dummyfunction("""COMPUTED_VALUE"""),"Completo")</f>
        <v>Completo</v>
      </c>
      <c r="G91" s="0" t="str">
        <f aca="false">IFERROR(__xludf.dummyfunction("""COMPUTED_VALUE"""),"https://drive.google.com/open?id=1inwds0w3mXKFPfhL0FM_12T84ZKT_1mU, https://drive.google.com/open?id=1nVVTTv7kP0Z3u-CwK-ynr758guMDLHCw")</f>
        <v>https://drive.google.com/open?id=1inwds0w3mXKFPfhL0FM_12T84ZKT_1mU, https://drive.google.com/open?id=1nVVTTv7kP0Z3u-CwK-ynr758guMDLHCw</v>
      </c>
    </row>
    <row r="92" customFormat="false" ht="14.25" hidden="false" customHeight="false" outlineLevel="0" collapsed="false">
      <c r="A92" s="18" t="str">
        <f aca="false">IFERROR(MID(D92,1,FIND("|",D92)-1)&amp;"-"&amp;C92,"")</f>
        <v>SICI201803-17-2-2</v>
      </c>
      <c r="B92" s="19" t="n">
        <f aca="false">IFERROR(__xludf.dummyfunction("""COMPUTED_VALUE"""),43853)</f>
        <v>43853</v>
      </c>
      <c r="C92" s="0" t="n">
        <f aca="false">IFERROR(__xludf.dummyfunction("""COMPUTED_VALUE"""),2)</f>
        <v>2</v>
      </c>
      <c r="D92" s="0" t="str">
        <f aca="false">IFERROR(__xludf.dummyfunction("""COMPUTED_VALUE"""),"SICI201803-17-2| Se generará una lista de chequeo para verificar periodicamente (cada 4 meses): a) el cumplimiento de la calibracion y/o mantenimiento de los instrumentos de medición encontrados en el servicio farmacéutico, b) Señalización adecuada de la "&amp;"áreas de la farmacia y rutas de evacuación. c) Existencia y estado de extintores - 30/12/1899")</f>
        <v>SICI201803-17-2| Se generará una lista de chequeo para verificar periodicamente (cada 4 meses): a) el cumplimiento de la calibracion y/o mantenimiento de los instrumentos de medición encontrados en el servicio farmacéutico, b) Señalización adecuada de la áreas de la farmacia y rutas de evacuación. c) Existencia y estado de extintores - 30/12/1899</v>
      </c>
      <c r="E92" s="0" t="str">
        <f aca="false">IFERROR(__xludf.dummyfunction("""COMPUTED_VALUE""")," No se ha normalizado, ni implementado la lista de chequeo aun se esta revisando pero aun no se utiliza. continua en desarrollo")</f>
        <v> No se ha normalizado, ni implementado la lista de chequeo aun se esta revisando pero aun no se utiliza. continua en desarrollo</v>
      </c>
      <c r="F92" s="0" t="str">
        <f aca="false">IFERROR(__xludf.dummyfunction("""COMPUTED_VALUE"""),"En desarrollo")</f>
        <v>En desarrollo</v>
      </c>
    </row>
    <row r="93" customFormat="false" ht="14.25" hidden="false" customHeight="false" outlineLevel="0" collapsed="false">
      <c r="A93" s="18" t="str">
        <f aca="false">IFERROR(MID(D93,1,FIND("|",D93)-1)&amp;"-"&amp;C93,"")</f>
        <v>SICI201803-18-1-2</v>
      </c>
      <c r="B93" s="19" t="n">
        <f aca="false">IFERROR(__xludf.dummyfunction("""COMPUTED_VALUE"""),43853)</f>
        <v>43853</v>
      </c>
      <c r="C93" s="0" t="n">
        <f aca="false">IFERROR(__xludf.dummyfunction("""COMPUTED_VALUE"""),2)</f>
        <v>2</v>
      </c>
      <c r="D93" s="0" t="str">
        <f aca="false">IFERROR(__xludf.dummyfunction("""COMPUTED_VALUE"""),"SICI201803-18-1| Se realizará e implementará instrumento para la recepción de medicamentos y dispositivos medicos por parte del Servicio Farmaceutico. - 30/0/2019")</f>
        <v>SICI201803-18-1| Se realizará e implementará instrumento para la recepción de medicamentos y dispositivos medicos por parte del Servicio Farmaceutico. - 30/0/2019</v>
      </c>
      <c r="E93" s="0" t="str">
        <f aca="false">IFERROR(__xludf.dummyfunction("""COMPUTED_VALUE"""),"El instrumento se tiene implementado y se esta utilizando  el formato la acción esta completada")</f>
        <v>El instrumento se tiene implementado y se esta utilizando  el formato la acción esta completada</v>
      </c>
      <c r="F93" s="0" t="str">
        <f aca="false">IFERROR(__xludf.dummyfunction("""COMPUTED_VALUE"""),"Completo")</f>
        <v>Completo</v>
      </c>
      <c r="G93" s="20" t="str">
        <f aca="false">IFERROR(__xludf.dummyfunction("""COMPUTED_VALUE"""),"https://drive.google.com/open?id=1202mb-0U2aCPW5dAJLiNhLtsMPR5bBB8")</f>
        <v>https://drive.google.com/open?id=1202mb-0U2aCPW5dAJLiNhLtsMPR5bBB8</v>
      </c>
    </row>
    <row r="94" customFormat="false" ht="14.25" hidden="false" customHeight="false" outlineLevel="0" collapsed="false">
      <c r="A94" s="18" t="str">
        <f aca="false">IFERROR(MID(D94,1,FIND("|",D94)-1)&amp;"-"&amp;C94,"")</f>
        <v>SICI201803-18-2-2</v>
      </c>
      <c r="B94" s="19" t="n">
        <f aca="false">IFERROR(__xludf.dummyfunction("""COMPUTED_VALUE"""),43853)</f>
        <v>43853</v>
      </c>
      <c r="C94" s="0" t="n">
        <f aca="false">IFERROR(__xludf.dummyfunction("""COMPUTED_VALUE"""),2)</f>
        <v>2</v>
      </c>
      <c r="D94" s="0" t="str">
        <f aca="false">IFERROR(__xludf.dummyfunction("""COMPUTED_VALUE"""),"SICI201803-18-2| Se socializará con el personal del Servicio Farmaceutico el instrumento de recepción de medicamentos y dispositivos medicos - 30/12/1899")</f>
        <v>SICI201803-18-2| Se socializará con el personal del Servicio Farmaceutico el instrumento de recepción de medicamentos y dispositivos medicos - 30/12/1899</v>
      </c>
      <c r="E94" s="0" t="str">
        <f aca="false">IFERROR(__xludf.dummyfunction("""COMPUTED_VALUE"""),"Se tiene el soporte de la socializacion y capacitacion del instrumento de recepción de medicamentos y dispositivos, la acción esta completada desde el seguimiento anterior")</f>
        <v>Se tiene el soporte de la socializacion y capacitacion del instrumento de recepción de medicamentos y dispositivos, la acción esta completada desde el seguimiento anterior</v>
      </c>
      <c r="F94" s="0" t="str">
        <f aca="false">IFERROR(__xludf.dummyfunction("""COMPUTED_VALUE"""),"Completo")</f>
        <v>Completo</v>
      </c>
      <c r="G94" s="0" t="str">
        <f aca="false">IFERROR(__xludf.dummyfunction("""COMPUTED_VALUE"""),"https://drive.google.com/open?id=1kyvXxQMwwTqI_2h3CrzBq1ySXVuIKSF1, https://drive.google.com/open?id=1PzwLNec1dJ27xOr_j2i00wzdcmq5POEx")</f>
        <v>https://drive.google.com/open?id=1kyvXxQMwwTqI_2h3CrzBq1ySXVuIKSF1, https://drive.google.com/open?id=1PzwLNec1dJ27xOr_j2i00wzdcmq5POEx</v>
      </c>
    </row>
    <row r="95" customFormat="false" ht="14.25" hidden="false" customHeight="false" outlineLevel="0" collapsed="false">
      <c r="A95" s="18" t="str">
        <f aca="false">IFERROR(MID(D95,1,FIND("|",D95)-1)&amp;"-"&amp;C95,"")</f>
        <v>SICI201803-18-3-2</v>
      </c>
      <c r="B95" s="19" t="n">
        <f aca="false">IFERROR(__xludf.dummyfunction("""COMPUTED_VALUE"""),43853)</f>
        <v>43853</v>
      </c>
      <c r="C95" s="0" t="n">
        <f aca="false">IFERROR(__xludf.dummyfunction("""COMPUTED_VALUE"""),2)</f>
        <v>2</v>
      </c>
      <c r="D95" s="0" t="str">
        <f aca="false">IFERROR(__xludf.dummyfunction("""COMPUTED_VALUE"""),"SICI201803-18-3| Se verificarán los medicamentos y dispostivos medicos que se reciben desde el almacén y se documentará en el formato respectivo. - 30/12/1899")</f>
        <v>SICI201803-18-3| Se verificarán los medicamentos y dispostivos medicos que se reciben desde el almacén y se documentará en el formato respectivo. - 30/12/1899</v>
      </c>
      <c r="E95" s="0" t="str">
        <f aca="false">IFERROR(__xludf.dummyfunction("""COMPUTED_VALUE"""),"El formato de recepción técnica esta estandarizado y se utiliza la acción esta completa desde el seguimiento anterior.")</f>
        <v>El formato de recepción técnica esta estandarizado y se utiliza la acción esta completa desde el seguimiento anterior.</v>
      </c>
      <c r="F95" s="0" t="str">
        <f aca="false">IFERROR(__xludf.dummyfunction("""COMPUTED_VALUE"""),"Completo")</f>
        <v>Completo</v>
      </c>
      <c r="G95" s="20" t="str">
        <f aca="false">IFERROR(__xludf.dummyfunction("""COMPUTED_VALUE"""),"https://drive.google.com/open?id=1bOvrKLsvWhgWGPT6EdAVgj1skx5mekb7")</f>
        <v>https://drive.google.com/open?id=1bOvrKLsvWhgWGPT6EdAVgj1skx5mekb7</v>
      </c>
    </row>
    <row r="96" customFormat="false" ht="14.25" hidden="false" customHeight="false" outlineLevel="0" collapsed="false">
      <c r="A96" s="18" t="str">
        <f aca="false">IFERROR(MID(D96,1,FIND("|",D96)-1)&amp;"-"&amp;C96,"")</f>
        <v>SICI201803-18-4-2</v>
      </c>
      <c r="B96" s="19" t="n">
        <f aca="false">IFERROR(__xludf.dummyfunction("""COMPUTED_VALUE"""),43853)</f>
        <v>43853</v>
      </c>
      <c r="C96" s="0" t="n">
        <f aca="false">IFERROR(__xludf.dummyfunction("""COMPUTED_VALUE"""),2)</f>
        <v>2</v>
      </c>
      <c r="D96" s="0" t="str">
        <f aca="false">IFERROR(__xludf.dummyfunction("""COMPUTED_VALUE"""),"SICI201803-18-4| Se implementará formato de control de medicamentos de salud pública con el fin de controlar el inventario de medicamentos como los usados para manejo de TBC: - 30/12/1899")</f>
        <v>SICI201803-18-4| Se implementará formato de control de medicamentos de salud pública con el fin de controlar el inventario de medicamentos como los usados para manejo de TBC: - 30/12/1899</v>
      </c>
      <c r="E96" s="0" t="str">
        <f aca="false">IFERROR(__xludf.dummyfunction("""COMPUTED_VALUE"""),"El formato de ingreso se está utilizando y se tiene implementado la acción esta completada.")</f>
        <v>El formato de ingreso se está utilizando y se tiene implementado la acción esta completada.</v>
      </c>
      <c r="F96" s="0" t="str">
        <f aca="false">IFERROR(__xludf.dummyfunction("""COMPUTED_VALUE"""),"Completo")</f>
        <v>Completo</v>
      </c>
      <c r="G96" s="20" t="str">
        <f aca="false">IFERROR(__xludf.dummyfunction("""COMPUTED_VALUE"""),"https://drive.google.com/open?id=1oyaXD3jz87I8mRdl2Xu6t0ltN6gveRbk")</f>
        <v>https://drive.google.com/open?id=1oyaXD3jz87I8mRdl2Xu6t0ltN6gveRbk</v>
      </c>
    </row>
    <row r="97" customFormat="false" ht="14.25" hidden="false" customHeight="false" outlineLevel="0" collapsed="false">
      <c r="A97" s="18" t="str">
        <f aca="false">IFERROR(MID(D97,1,FIND("|",D97)-1)&amp;"-"&amp;C97,"")</f>
        <v>SICI201803-19-1-2</v>
      </c>
      <c r="B97" s="19" t="n">
        <f aca="false">IFERROR(__xludf.dummyfunction("""COMPUTED_VALUE"""),43853)</f>
        <v>43853</v>
      </c>
      <c r="C97" s="0" t="n">
        <f aca="false">IFERROR(__xludf.dummyfunction("""COMPUTED_VALUE"""),2)</f>
        <v>2</v>
      </c>
      <c r="D97" s="0" t="str">
        <f aca="false">IFERROR(__xludf.dummyfunction("""COMPUTED_VALUE"""),"SICI201803-19-1| Se notificará al equipo HIS la necesidad de que el sistema de información genere alertas en el módulo de inventario que permitan evidenciar los pendientes de medicamentos y dispostivos medicos para el personal de almacén y Servicio Farmac"&amp;"éutico. - 31/05/2019")</f>
        <v>SICI201803-19-1| Se notificará al equipo HIS la necesidad de que el sistema de información genere alertas en el módulo de inventario que permitan evidenciar los pendientes de medicamentos y dispostivos medicos para el personal de almacén y Servicio Farmacéutico. - 31/05/2019</v>
      </c>
      <c r="E97" s="0" t="str">
        <f aca="false">IFERROR(__xludf.dummyfunction("""COMPUTED_VALUE"""),"Actualmente se tiene un reporte del faltantes que se genera semanalmente como base en información del sistema SERVINTE que permite hacer un comparativo de los faltantes del almacén de acuerdo a los consumos de las farmacias a las que abastece. esto como a"&amp;"vance debido a que HIS informa que las especificaciones del sistema no permiten generar estas alertas. ")</f>
        <v>Actualmente se tiene un reporte del faltantes que se genera semanalmente como base en información del sistema SERVINTE que permite hacer un comparativo de los faltantes del almacén de acuerdo a los consumos de las farmacias a las que abastece. esto como avance debido a que HIS informa que las especificaciones del sistema no permiten generar estas alertas. </v>
      </c>
      <c r="F97" s="0" t="str">
        <f aca="false">IFERROR(__xludf.dummyfunction("""COMPUTED_VALUE"""),"En desarrollo")</f>
        <v>En desarrollo</v>
      </c>
      <c r="G97" s="0" t="str">
        <f aca="false">IFERROR(__xludf.dummyfunction("""COMPUTED_VALUE"""),"https://drive.google.com/open?id=1x4Xv3oTAMQNiHP5xIJXuIg3SkL1PC1R4, https://drive.google.com/open?id=1OvKUNoQX2WISpH68NhZxjdy_-7UnQM6B")</f>
        <v>https://drive.google.com/open?id=1x4Xv3oTAMQNiHP5xIJXuIg3SkL1PC1R4, https://drive.google.com/open?id=1OvKUNoQX2WISpH68NhZxjdy_-7UnQM6B</v>
      </c>
    </row>
    <row r="98" customFormat="false" ht="14.25" hidden="false" customHeight="false" outlineLevel="0" collapsed="false">
      <c r="A98" s="18" t="str">
        <f aca="false">IFERROR(MID(D98,1,FIND("|",D98)-1)&amp;"-"&amp;C98,"")</f>
        <v>SICI201803-20-1-2</v>
      </c>
      <c r="B98" s="19" t="n">
        <f aca="false">IFERROR(__xludf.dummyfunction("""COMPUTED_VALUE"""),43853)</f>
        <v>43853</v>
      </c>
      <c r="C98" s="0" t="n">
        <f aca="false">IFERROR(__xludf.dummyfunction("""COMPUTED_VALUE"""),2)</f>
        <v>2</v>
      </c>
      <c r="D98" s="0" t="str">
        <f aca="false">IFERROR(__xludf.dummyfunction("""COMPUTED_VALUE"""),"SICI201803-20-1| Se notificar al equipo de HIS y a la Subgerencia Administrativa la necesidad de que el Sistema de Información permita en el módulo de inventarios el control de lotes, fechas de vencimiento de medicamentos y dispositivos médicos con el fin"&amp;" de garantizar un control de trazabilidad y de fechas de vencimiento. - 31/05/2019")</f>
        <v>SICI201803-20-1| Se notificar al equipo de HIS y a la Subgerencia Administrativa la necesidad de que el Sistema de Información permita en el módulo de inventarios el control de lotes, fechas de vencimiento de medicamentos y dispositivos médicos con el fin de garantizar un control de trazabilidad y de fechas de vencimiento. - 31/05/2019</v>
      </c>
      <c r="E98" s="0" t="str">
        <f aca="false">IFERROR(__xludf.dummyfunction("""COMPUTED_VALUE"""),"No se ha trabajado sobre el tema para verificar con HIS si el sistema permite realizar este tipo de controles, que cuales son los requerimientos necesarios.")</f>
        <v>No se ha trabajado sobre el tema para verificar con HIS si el sistema permite realizar este tipo de controles, que cuales son los requerimientos necesarios.</v>
      </c>
      <c r="F98" s="0" t="str">
        <f aca="false">IFERROR(__xludf.dummyfunction("""COMPUTED_VALUE"""),"Atrasado")</f>
        <v>Atrasado</v>
      </c>
    </row>
    <row r="99" customFormat="false" ht="14.25" hidden="false" customHeight="false" outlineLevel="0" collapsed="false">
      <c r="A99" s="18" t="str">
        <f aca="false">IFERROR(MID(D99,1,FIND("|",D99)-1)&amp;"-"&amp;C99,"")</f>
        <v>SICI201803-22-1-2</v>
      </c>
      <c r="B99" s="19" t="n">
        <f aca="false">IFERROR(__xludf.dummyfunction("""COMPUTED_VALUE"""),43853)</f>
        <v>43853</v>
      </c>
      <c r="C99" s="0" t="n">
        <f aca="false">IFERROR(__xludf.dummyfunction("""COMPUTED_VALUE"""),2)</f>
        <v>2</v>
      </c>
      <c r="D99" s="0" t="str">
        <f aca="false">IFERROR(__xludf.dummyfunction("""COMPUTED_VALUE"""),"SICI201803-22-1| El Servicio Farmacéutico realizará la solicitud de pedidos de 45 días al área de suministros (almacén) a través de correo electronico de acuerdo a sus necesidades. - 31/08/2019")</f>
        <v>SICI201803-22-1| El Servicio Farmacéutico realizará la solicitud de pedidos de 45 días al área de suministros (almacén) a través de correo electronico de acuerdo a sus necesidades. - 31/08/2019</v>
      </c>
      <c r="E99" s="0" t="str">
        <f aca="false">IFERROR(__xludf.dummyfunction("""COMPUTED_VALUE"""),"la acción se cerro desde el seguimiento anterior , donde se evidencia las solicitudes de pedido.")</f>
        <v>la acción se cerro desde el seguimiento anterior , donde se evidencia las solicitudes de pedido.</v>
      </c>
      <c r="F99" s="0" t="str">
        <f aca="false">IFERROR(__xludf.dummyfunction("""COMPUTED_VALUE"""),"Completo")</f>
        <v>Completo</v>
      </c>
      <c r="G99" s="0" t="str">
        <f aca="false">IFERROR(__xludf.dummyfunction("""COMPUTED_VALUE"""),"https://drive.google.com/open?id=15253q9egCkBlfpdBAXoy4jizQzfeF752, https://drive.google.com/open?id=1LpofizaG3YIXECQEPJQaJiZBXThOUq_K")</f>
        <v>https://drive.google.com/open?id=15253q9egCkBlfpdBAXoy4jizQzfeF752, https://drive.google.com/open?id=1LpofizaG3YIXECQEPJQaJiZBXThOUq_K</v>
      </c>
    </row>
    <row r="100" customFormat="false" ht="14.25" hidden="false" customHeight="false" outlineLevel="0" collapsed="false">
      <c r="A100" s="18" t="str">
        <f aca="false">IFERROR(MID(D100,1,FIND("|",D100)-1)&amp;"-"&amp;C100,"")</f>
        <v>SICI201803-22-2-2</v>
      </c>
      <c r="B100" s="19" t="n">
        <f aca="false">IFERROR(__xludf.dummyfunction("""COMPUTED_VALUE"""),43853)</f>
        <v>43853</v>
      </c>
      <c r="C100" s="0" t="n">
        <f aca="false">IFERROR(__xludf.dummyfunction("""COMPUTED_VALUE"""),2)</f>
        <v>2</v>
      </c>
      <c r="D100" s="0" t="str">
        <f aca="false">IFERROR(__xludf.dummyfunction("""COMPUTED_VALUE"""),"SICI201803-22-2| Se realizará el traslado de los medicamentos entre las diferentes unidades que cuentan con existencias para las farmacias que lo requieran. - 30/12/1899")</f>
        <v>SICI201803-22-2| Se realizará el traslado de los medicamentos entre las diferentes unidades que cuentan con existencias para las farmacias que lo requieran. - 30/12/1899</v>
      </c>
      <c r="E100" s="0" t="str">
        <f aca="false">IFERROR(__xludf.dummyfunction("""COMPUTED_VALUE"""),"Se tiene que el instructivo MI-SC-I-85-01 esta implementado y se realizan los actividades, la accion esta cerrada desde el seguimiento anterior. ")</f>
        <v>Se tiene que el instructivo MI-SC-I-85-01 esta implementado y se realizan los actividades, la accion esta cerrada desde el seguimiento anterior. </v>
      </c>
      <c r="F100" s="0" t="str">
        <f aca="false">IFERROR(__xludf.dummyfunction("""COMPUTED_VALUE"""),"Completo")</f>
        <v>Completo</v>
      </c>
      <c r="G100" s="20" t="str">
        <f aca="false">IFERROR(__xludf.dummyfunction("""COMPUTED_VALUE"""),"https://drive.google.com/open?id=1WV3hiKea6DVd7OTmGF0IvUnlh3kbHF6i")</f>
        <v>https://drive.google.com/open?id=1WV3hiKea6DVd7OTmGF0IvUnlh3kbHF6i</v>
      </c>
    </row>
    <row r="101" customFormat="false" ht="14.25" hidden="false" customHeight="false" outlineLevel="0" collapsed="false">
      <c r="A101" s="18" t="str">
        <f aca="false">IFERROR(MID(D101,1,FIND("|",D101)-1)&amp;"-"&amp;C101,"")</f>
        <v>SICI201803-22-3-2</v>
      </c>
      <c r="B101" s="19" t="n">
        <f aca="false">IFERROR(__xludf.dummyfunction("""COMPUTED_VALUE"""),43853)</f>
        <v>43853</v>
      </c>
      <c r="C101" s="0" t="n">
        <f aca="false">IFERROR(__xludf.dummyfunction("""COMPUTED_VALUE"""),2)</f>
        <v>2</v>
      </c>
      <c r="D101" s="0" t="str">
        <f aca="false">IFERROR(__xludf.dummyfunction("""COMPUTED_VALUE"""),"SICI201803-22-3| Se notificará al área de Supervisión de contratos los medicamentos contratados que son criticos y que no se reciben en los pedidos. - 30/12/1899")</f>
        <v>SICI201803-22-3| Se notificará al área de Supervisión de contratos los medicamentos contratados que son criticos y que no se reciben en los pedidos. - 30/12/1899</v>
      </c>
      <c r="E101" s="0" t="str">
        <f aca="false">IFERROR(__xludf.dummyfunction("""COMPUTED_VALUE"""),"Aun se mantiene el envío de los medicamentos caracterizados como criticos  la acción esta completa desde el seguimiento anterior ")</f>
        <v>Aun se mantiene el envío de los medicamentos caracterizados como criticos  la acción esta completa desde el seguimiento anterior </v>
      </c>
      <c r="F101" s="0" t="str">
        <f aca="false">IFERROR(__xludf.dummyfunction("""COMPUTED_VALUE"""),"Completo")</f>
        <v>Completo</v>
      </c>
      <c r="G101" s="0" t="str">
        <f aca="false">IFERROR(__xludf.dummyfunction("""COMPUTED_VALUE"""),"https://drive.google.com/open?id=1tXM0elXQWiKR3KEreJXXV_MgvKskRwQG, https://drive.google.com/open?id=1m1H7OS67SqAIEZaDL6OG38TEWcOzVqPq")</f>
        <v>https://drive.google.com/open?id=1tXM0elXQWiKR3KEreJXXV_MgvKskRwQG, https://drive.google.com/open?id=1m1H7OS67SqAIEZaDL6OG38TEWcOzVqPq</v>
      </c>
    </row>
    <row r="102" customFormat="false" ht="14.25" hidden="false" customHeight="false" outlineLevel="0" collapsed="false">
      <c r="A102" s="18" t="str">
        <f aca="false">IFERROR(MID(D102,1,FIND("|",D102)-1)&amp;"-"&amp;C102,"")</f>
        <v>SICI201803-22-4-2</v>
      </c>
      <c r="B102" s="19" t="n">
        <f aca="false">IFERROR(__xludf.dummyfunction("""COMPUTED_VALUE"""),43853)</f>
        <v>43853</v>
      </c>
      <c r="C102" s="0" t="n">
        <f aca="false">IFERROR(__xludf.dummyfunction("""COMPUTED_VALUE"""),2)</f>
        <v>2</v>
      </c>
      <c r="D102" s="0" t="str">
        <f aca="false">IFERROR(__xludf.dummyfunction("""COMPUTED_VALUE"""),"SICI201803-22-4| El Servicio Farmaceutico socializará en el Comité de Farmacia y Terapéutica el listado de medicamentos debastecidos a nivel nacional para solicitar al personal asistencial posibles alternativas terapéuticas. - 30/12/1899")</f>
        <v>SICI201803-22-4| El Servicio Farmaceutico socializará en el Comité de Farmacia y Terapéutica el listado de medicamentos debastecidos a nivel nacional para solicitar al personal asistencial posibles alternativas terapéuticas. - 30/12/1899</v>
      </c>
      <c r="E102" s="0" t="str">
        <f aca="false">IFERROR(__xludf.dummyfunction("""COMPUTED_VALUE"""),"se tiene evidencia del reporte de los productos desabastecidos ante el comite de Farmacia . La accion esta completa del seguimiento anterior.")</f>
        <v>se tiene evidencia del reporte de los productos desabastecidos ante el comite de Farmacia . La accion esta completa del seguimiento anterior.</v>
      </c>
      <c r="F102" s="0" t="str">
        <f aca="false">IFERROR(__xludf.dummyfunction("""COMPUTED_VALUE"""),"Completo")</f>
        <v>Completo</v>
      </c>
      <c r="G102" s="20" t="str">
        <f aca="false">IFERROR(__xludf.dummyfunction("""COMPUTED_VALUE"""),"https://drive.google.com/open?id=1AUkoWwAIob3UQNKVUIH-Ufp5lbaTcLRu")</f>
        <v>https://drive.google.com/open?id=1AUkoWwAIob3UQNKVUIH-Ufp5lbaTcLRu</v>
      </c>
    </row>
    <row r="103" customFormat="false" ht="14.25" hidden="false" customHeight="false" outlineLevel="0" collapsed="false">
      <c r="A103" s="18" t="str">
        <f aca="false">IFERROR(MID(D103,1,FIND("|",D103)-1)&amp;"-"&amp;C103,"")</f>
        <v>SICI201803-22-5-2</v>
      </c>
      <c r="B103" s="19" t="n">
        <f aca="false">IFERROR(__xludf.dummyfunction("""COMPUTED_VALUE"""),43853)</f>
        <v>43853</v>
      </c>
      <c r="C103" s="0" t="n">
        <f aca="false">IFERROR(__xludf.dummyfunction("""COMPUTED_VALUE"""),2)</f>
        <v>2</v>
      </c>
      <c r="D103" s="0" t="str">
        <f aca="false">IFERROR(__xludf.dummyfunction("""COMPUTED_VALUE"""),"SICI201803-22-5| El servicio farmacéutico notificará al área de caja menor que cuando se soliciten los insumos pendientes y que no estén contratados por la subred. los mismos deben ser gestionados en un plazo no mayor a 24 horas. - 30/12/1899")</f>
        <v>SICI201803-22-5| El servicio farmacéutico notificará al área de caja menor que cuando se soliciten los insumos pendientes y que no estén contratados por la subred. los mismos deben ser gestionados en un plazo no mayor a 24 horas. - 30/12/1899</v>
      </c>
      <c r="E103" s="0" t="str">
        <f aca="false">IFERROR(__xludf.dummyfunction("""COMPUTED_VALUE"""),"se mantiene las solicitudes a caja menor de los insumos pendientes. la acción se encuentra completada del seguimiento anterior.")</f>
        <v>se mantiene las solicitudes a caja menor de los insumos pendientes. la acción se encuentra completada del seguimiento anterior.</v>
      </c>
      <c r="F103" s="0" t="str">
        <f aca="false">IFERROR(__xludf.dummyfunction("""COMPUTED_VALUE"""),"Completo")</f>
        <v>Completo</v>
      </c>
      <c r="G103" s="0" t="str">
        <f aca="false">IFERROR(__xludf.dummyfunction("""COMPUTED_VALUE"""),"https://drive.google.com/open?id=1uok0-FQEJEaK_Agp_JhicBwOkcIkaYY8, https://drive.google.com/open?id=1t5-bn8Ht13jpV_lvmnMeCyOMTQpqGeh-")</f>
        <v>https://drive.google.com/open?id=1uok0-FQEJEaK_Agp_JhicBwOkcIkaYY8, https://drive.google.com/open?id=1t5-bn8Ht13jpV_lvmnMeCyOMTQpqGeh-</v>
      </c>
    </row>
    <row r="104" customFormat="false" ht="14.25" hidden="false" customHeight="false" outlineLevel="0" collapsed="false">
      <c r="A104" s="18" t="str">
        <f aca="false">IFERROR(MID(D104,1,FIND("|",D104)-1)&amp;"-"&amp;C104,"")</f>
        <v>SICI201803-1-4-3</v>
      </c>
      <c r="B104" s="19" t="n">
        <f aca="false">IFERROR(__xludf.dummyfunction("""COMPUTED_VALUE"""),43917)</f>
        <v>43917</v>
      </c>
      <c r="C104" s="0" t="n">
        <f aca="false">IFERROR(__xludf.dummyfunction("""COMPUTED_VALUE"""),3)</f>
        <v>3</v>
      </c>
      <c r="D104" s="0" t="str">
        <f aca="false">IFERROR(__xludf.dummyfunction("""COMPUTED_VALUE"""),"SICI201803-1-4| Se diseñará e implementará instrumento (formato) para préstamos única y exclusivamente para casos de urgencia vital, el formato debe llegar a la farmacia debidamente diligenciado con toda la información del paciente y de la persona que lo "&amp;"solicita. - 30/12/1899")</f>
        <v>SICI201803-1-4| Se diseñará e implementará instrumento (formato) para préstamos única y exclusivamente para casos de urgencia vital, el formato debe llegar a la farmacia debidamente diligenciado con toda la información del paciente y de la persona que lo solicita. - 30/12/1899</v>
      </c>
      <c r="E104" s="0" t="str">
        <f aca="false">IFERROR(__xludf.dummyfunction("""COMPUTED_VALUE"""),"Se continua diligenciando el formato de prestamos a urgencias la accion ya estaba completada desde el seguimiento de enero")</f>
        <v>Se continua diligenciando el formato de prestamos a urgencias la accion ya estaba completada desde el seguimiento de enero</v>
      </c>
      <c r="F104" s="0" t="str">
        <f aca="false">IFERROR(__xludf.dummyfunction("""COMPUTED_VALUE"""),"Completo")</f>
        <v>Completo</v>
      </c>
      <c r="G104" s="0" t="str">
        <f aca="false">IFERROR(__xludf.dummyfunction("""COMPUTED_VALUE"""),"https://drive.google.com/open?id=10u8ZfUVhy9QDBGbKexMEDi2LuE6Cpaek, https://drive.google.com/open?id=1W0UjUqol5y10Tu7gHGyuDsPU844h4hYc, https://drive.google.com/open?id=1DzdvQ_JeYH5iUT-KdzMDr62LS7x2lhaK")</f>
        <v>https://drive.google.com/open?id=10u8ZfUVhy9QDBGbKexMEDi2LuE6Cpaek, https://drive.google.com/open?id=1W0UjUqol5y10Tu7gHGyuDsPU844h4hYc, https://drive.google.com/open?id=1DzdvQ_JeYH5iUT-KdzMDr62LS7x2lhaK</v>
      </c>
    </row>
    <row r="105" customFormat="false" ht="14.25" hidden="false" customHeight="false" outlineLevel="0" collapsed="false">
      <c r="A105" s="18" t="str">
        <f aca="false">IFERROR(MID(D105,1,FIND("|",D105)-1)&amp;"-"&amp;C105,"")</f>
        <v>SICI201803-1-2-3</v>
      </c>
      <c r="B105" s="19" t="n">
        <f aca="false">IFERROR(__xludf.dummyfunction("""COMPUTED_VALUE"""),43917)</f>
        <v>43917</v>
      </c>
      <c r="C105" s="0" t="n">
        <f aca="false">IFERROR(__xludf.dummyfunction("""COMPUTED_VALUE"""),3)</f>
        <v>3</v>
      </c>
      <c r="D105" s="0" t="str">
        <f aca="false">IFERROR(__xludf.dummyfunction("""COMPUTED_VALUE"""),"SICI201803-1-2| Se elaborará intrumento (instructivo) en el cual se deje claro lo concerniente al manejo de las desviaciones presentadas por: caídas del sistema, valores negativos, pedidos de proveedores sin traslado y préstamos de insumos no legalizados "&amp;"con el fin de minimizar las desviaciones. - 30/12/1899")</f>
        <v>SICI201803-1-2| Se elaborará intrumento (instructivo) en el cual se deje claro lo concerniente al manejo de las desviaciones presentadas por: caídas del sistema, valores negativos, pedidos de proveedores sin traslado y préstamos de insumos no legalizados con el fin de minimizar las desviaciones. - 30/12/1899</v>
      </c>
      <c r="E105" s="0" t="str">
        <f aca="false">IFERROR(__xludf.dummyfunction("""COMPUTED_VALUE"""),"Completada  segumiento anterior")</f>
        <v>Completada  segumiento anterior</v>
      </c>
      <c r="F105" s="0" t="str">
        <f aca="false">IFERROR(__xludf.dummyfunction("""COMPUTED_VALUE"""),"Completo")</f>
        <v>Completo</v>
      </c>
      <c r="G105" s="0" t="str">
        <f aca="false">IFERROR(__xludf.dummyfunction("""COMPUTED_VALUE"""),"https://drive.google.com/open?id=1Yf7h6XTQS3-r_1WK6DE4uKZ7D_WrDV-n, https://drive.google.com/open?id=1mBRmOxutdK8ynGGLJZZfaJuj3_QKC4-c, https://drive.google.com/open?id=1SBDIGbWJmJ1lJgcAi87P51Luhlg-yCjV")</f>
        <v>https://drive.google.com/open?id=1Yf7h6XTQS3-r_1WK6DE4uKZ7D_WrDV-n, https://drive.google.com/open?id=1mBRmOxutdK8ynGGLJZZfaJuj3_QKC4-c, https://drive.google.com/open?id=1SBDIGbWJmJ1lJgcAi87P51Luhlg-yCjV</v>
      </c>
    </row>
    <row r="106" customFormat="false" ht="14.25" hidden="false" customHeight="false" outlineLevel="0" collapsed="false">
      <c r="A106" s="18" t="str">
        <f aca="false">IFERROR(MID(D106,1,FIND("|",D106)-1)&amp;"-"&amp;C106,"")</f>
        <v>SICI201803-1-3-3</v>
      </c>
      <c r="B106" s="19" t="n">
        <f aca="false">IFERROR(__xludf.dummyfunction("""COMPUTED_VALUE"""),43917)</f>
        <v>43917</v>
      </c>
      <c r="C106" s="0" t="n">
        <f aca="false">IFERROR(__xludf.dummyfunction("""COMPUTED_VALUE"""),3)</f>
        <v>3</v>
      </c>
      <c r="D106" s="0" t="str">
        <f aca="false">IFERROR(__xludf.dummyfunction("""COMPUTED_VALUE"""),"SICI201803-1-3| Se realizará capacitacion al personal sobre el buen manejo de los medicamentos e insumos de acuerdo a las buenas prácticas de almacenamiento y dispensacion. - 30/12/1899")</f>
        <v>SICI201803-1-3| Se realizará capacitacion al personal sobre el buen manejo de los medicamentos e insumos de acuerdo a las buenas prácticas de almacenamiento y dispensacion. - 30/12/1899</v>
      </c>
      <c r="E106" s="0" t="str">
        <f aca="false">IFERROR(__xludf.dummyfunction("""COMPUTED_VALUE"""),"Se completo en segumiento anterior")</f>
        <v>Se completo en segumiento anterior</v>
      </c>
      <c r="F106" s="0" t="str">
        <f aca="false">IFERROR(__xludf.dummyfunction("""COMPUTED_VALUE"""),"Completo")</f>
        <v>Completo</v>
      </c>
      <c r="G106" s="0" t="str">
        <f aca="false">IFERROR(__xludf.dummyfunction("""COMPUTED_VALUE"""),"https://drive.google.com/open?id=1LFkRiB03-OYMf9zMzGslNTQBH-EP2s9G, https://drive.google.com/open?id=1pfDmE6EBg502VxNhFZZy29qx4uPBwFP-")</f>
        <v>https://drive.google.com/open?id=1LFkRiB03-OYMf9zMzGslNTQBH-EP2s9G, https://drive.google.com/open?id=1pfDmE6EBg502VxNhFZZy29qx4uPBwFP-</v>
      </c>
    </row>
    <row r="107" customFormat="false" ht="14.25" hidden="false" customHeight="false" outlineLevel="0" collapsed="false">
      <c r="A107" s="18" t="str">
        <f aca="false">IFERROR(MID(D107,1,FIND("|",D107)-1)&amp;"-"&amp;C107,"")</f>
        <v>SICI201803-1-5-3</v>
      </c>
      <c r="B107" s="19" t="n">
        <f aca="false">IFERROR(__xludf.dummyfunction("""COMPUTED_VALUE"""),43917)</f>
        <v>43917</v>
      </c>
      <c r="C107" s="0" t="n">
        <f aca="false">IFERROR(__xludf.dummyfunction("""COMPUTED_VALUE"""),3)</f>
        <v>3</v>
      </c>
      <c r="D107" s="0" t="str">
        <f aca="false">IFERROR(__xludf.dummyfunction("""COMPUTED_VALUE"""),"SICI201803-1-5| Los préstamos no legalizados se notificarán al referente del servicio para que éste gestione con la persona responsable del préstamo la respectiva legalizacion de los mismos. - 30/12/1899")</f>
        <v>SICI201803-1-5| Los préstamos no legalizados se notificarán al referente del servicio para que éste gestione con la persona responsable del préstamo la respectiva legalizacion de los mismos. - 30/12/1899</v>
      </c>
      <c r="E107" s="0" t="str">
        <f aca="false">IFERROR(__xludf.dummyfunction("""COMPUTED_VALUE"""),"Se sigue realizando las notificaciones se completo desde el segumiento anterior")</f>
        <v>Se sigue realizando las notificaciones se completo desde el segumiento anterior</v>
      </c>
      <c r="F107" s="0" t="str">
        <f aca="false">IFERROR(__xludf.dummyfunction("""COMPUTED_VALUE"""),"Completo")</f>
        <v>Completo</v>
      </c>
      <c r="G107" s="0" t="str">
        <f aca="false">IFERROR(__xludf.dummyfunction("""COMPUTED_VALUE"""),"https://drive.google.com/open?id=1TPHvCEHGixNg95DAAA0DOLngrWAA9Uut, https://drive.google.com/open?id=1dHagQc7dmd6WNqwSBAmnRFOVycO9iy4Q")</f>
        <v>https://drive.google.com/open?id=1TPHvCEHGixNg95DAAA0DOLngrWAA9Uut, https://drive.google.com/open?id=1dHagQc7dmd6WNqwSBAmnRFOVycO9iy4Q</v>
      </c>
    </row>
    <row r="108" customFormat="false" ht="14.25" hidden="false" customHeight="false" outlineLevel="0" collapsed="false">
      <c r="A108" s="18" t="str">
        <f aca="false">IFERROR(MID(D108,1,FIND("|",D108)-1)&amp;"-"&amp;C108,"")</f>
        <v>SICI201803-1-6-3</v>
      </c>
      <c r="B108" s="19" t="n">
        <f aca="false">IFERROR(__xludf.dummyfunction("""COMPUTED_VALUE"""),43917)</f>
        <v>43917</v>
      </c>
      <c r="C108" s="0" t="n">
        <f aca="false">IFERROR(__xludf.dummyfunction("""COMPUTED_VALUE"""),3)</f>
        <v>3</v>
      </c>
      <c r="D108" s="0" t="str">
        <f aca="false">IFERROR(__xludf.dummyfunction("""COMPUTED_VALUE"""),"SICI201803-1-6| Se notificará a la Direccion administrativa (suministros) para que generen acciones de mejora con respecto a las entregas sin traslado. - 30/12/1899")</f>
        <v>SICI201803-1-6| Se notificará a la Direccion administrativa (suministros) para que generen acciones de mejora con respecto a las entregas sin traslado. - 30/12/1899</v>
      </c>
      <c r="E108" s="0" t="str">
        <f aca="false">IFERROR(__xludf.dummyfunction("""COMPUTED_VALUE"""),"No existen soportes la lider de farmacia argumenta que esta tarea debe revisarse por parte de áreas de control y evaluación, quienes son las indicadas para solicitar acciones de mejora")</f>
        <v>No existen soportes la lider de farmacia argumenta que esta tarea debe revisarse por parte de áreas de control y evaluación, quienes son las indicadas para solicitar acciones de mejora</v>
      </c>
      <c r="F108" s="0" t="str">
        <f aca="false">IFERROR(__xludf.dummyfunction("""COMPUTED_VALUE"""),"Atrasado")</f>
        <v>Atrasado</v>
      </c>
    </row>
    <row r="109" customFormat="false" ht="14.25" hidden="false" customHeight="false" outlineLevel="0" collapsed="false">
      <c r="A109" s="18" t="str">
        <f aca="false">IFERROR(MID(D109,1,FIND("|",D109)-1)&amp;"-"&amp;C109,"")</f>
        <v>SICI201803-2-1-3</v>
      </c>
      <c r="B109" s="19" t="n">
        <f aca="false">IFERROR(__xludf.dummyfunction("""COMPUTED_VALUE"""),43917)</f>
        <v>43917</v>
      </c>
      <c r="C109" s="0" t="n">
        <f aca="false">IFERROR(__xludf.dummyfunction("""COMPUTED_VALUE"""),3)</f>
        <v>3</v>
      </c>
      <c r="D109" s="0" t="str">
        <f aca="false">IFERROR(__xludf.dummyfunction("""COMPUTED_VALUE"""),"SICI201803-2-1| Se realizará inventario del estado de los muebles de medicamentos de control especial con una periodicidad de cada 4 meses. - 31/05/2019")</f>
        <v>SICI201803-2-1| Se realizará inventario del estado de los muebles de medicamentos de control especial con una periodicidad de cada 4 meses. - 31/05/2019</v>
      </c>
      <c r="E109" s="0" t="str">
        <f aca="false">IFERROR(__xludf.dummyfunction("""COMPUTED_VALUE"""),"los muebles estan en buen estado  accion completada del seguimiento anterior")</f>
        <v>los muebles estan en buen estado  accion completada del seguimiento anterior</v>
      </c>
      <c r="F109" s="0" t="str">
        <f aca="false">IFERROR(__xludf.dummyfunction("""COMPUTED_VALUE"""),"Completo")</f>
        <v>Completo</v>
      </c>
      <c r="G109" s="0" t="str">
        <f aca="false">IFERROR(__xludf.dummyfunction("""COMPUTED_VALUE"""),"https://drive.google.com/open?id=1ZI9BSb6Z5CwrLzaFBUQUr74EAAa8sVzV, https://drive.google.com/open?id=1fhkKSSPZ_Vs22DolDRYOWG6oDFTwk9-x, https://drive.google.com/open?id=1_Fsjd4S0_5ntzRtxKEBK0Bfn4Fj5X-Ro, https://drive.google.com/open?id=1cmFis2NThO1EeU1on"&amp;"PH9oUi_0S0lVdjM, https://drive.google.com/open?id=10IbXwKtB1sgf0BI-Mx63i7CXdwH_1gud")</f>
        <v>https://drive.google.com/open?id=1ZI9BSb6Z5CwrLzaFBUQUr74EAAa8sVzV, https://drive.google.com/open?id=1fhkKSSPZ_Vs22DolDRYOWG6oDFTwk9-x, https://drive.google.com/open?id=1_Fsjd4S0_5ntzRtxKEBK0Bfn4Fj5X-Ro, https://drive.google.com/open?id=1cmFis2NThO1EeU1onPH9oUi_0S0lVdjM, https://drive.google.com/open?id=10IbXwKtB1sgf0BI-Mx63i7CXdwH_1gud</v>
      </c>
    </row>
    <row r="110" customFormat="false" ht="14.25" hidden="false" customHeight="false" outlineLevel="0" collapsed="false">
      <c r="A110" s="18" t="str">
        <f aca="false">IFERROR(MID(D110,1,FIND("|",D110)-1)&amp;"-"&amp;C110,"")</f>
        <v>SICI201803-1-7-3</v>
      </c>
      <c r="B110" s="19" t="n">
        <f aca="false">IFERROR(__xludf.dummyfunction("""COMPUTED_VALUE"""),43917)</f>
        <v>43917</v>
      </c>
      <c r="C110" s="0" t="n">
        <f aca="false">IFERROR(__xludf.dummyfunction("""COMPUTED_VALUE"""),3)</f>
        <v>3</v>
      </c>
      <c r="D110" s="0" t="str">
        <f aca="false">IFERROR(__xludf.dummyfunction("""COMPUTED_VALUE"""),"SICI201803-1-7| Se notificará por correo electrónico a la Direccion de Servicios Complementarios la necesidad de completar el recurso humano para poder ejecutar las actividades de control en cuanto al manejo de inventarios. - 30/12/1899")</f>
        <v>SICI201803-1-7| Se notificará por correo electrónico a la Direccion de Servicios Complementarios la necesidad de completar el recurso humano para poder ejecutar las actividades de control en cuanto al manejo de inventarios. - 30/12/1899</v>
      </c>
      <c r="E110" s="0" t="str">
        <f aca="false">IFERROR(__xludf.dummyfunction("""COMPUTED_VALUE"""),"Se continúan con la solicitudes de personal")</f>
        <v>Se continúan con la solicitudes de personal</v>
      </c>
      <c r="F110" s="0" t="str">
        <f aca="false">IFERROR(__xludf.dummyfunction("""COMPUTED_VALUE"""),"Completo")</f>
        <v>Completo</v>
      </c>
      <c r="G110" s="0" t="str">
        <f aca="false">IFERROR(__xludf.dummyfunction("""COMPUTED_VALUE"""),"https://drive.google.com/open?id=1J_1u6jJl96AgRhjBcV96lehPT6JRaDWO, https://drive.google.com/open?id=1vCyDDnUjozl35Jj4WulnL_-LYFB2f8Lj, https://drive.google.com/open?id=1CPwkGrlEFB6betoN-rUPpqu8Idyas8hD, https://drive.google.com/open?id=1vuNhCmpyg6hqDZDcw"&amp;"f2HaxxdUdAhY1Y6, https://drive.google.com/open?id=1GKu-ueFFTjcyIAM9dz0IdfaarvW2twKO")</f>
        <v>https://drive.google.com/open?id=1J_1u6jJl96AgRhjBcV96lehPT6JRaDWO, https://drive.google.com/open?id=1vCyDDnUjozl35Jj4WulnL_-LYFB2f8Lj, https://drive.google.com/open?id=1CPwkGrlEFB6betoN-rUPpqu8Idyas8hD, https://drive.google.com/open?id=1vuNhCmpyg6hqDZDcwf2HaxxdUdAhY1Y6, https://drive.google.com/open?id=1GKu-ueFFTjcyIAM9dz0IdfaarvW2twKO</v>
      </c>
    </row>
    <row r="111" customFormat="false" ht="14.25" hidden="false" customHeight="false" outlineLevel="0" collapsed="false">
      <c r="A111" s="18" t="str">
        <f aca="false">IFERROR(MID(D111,1,FIND("|",D111)-1)&amp;"-"&amp;C111,"")</f>
        <v>SICI201803-2-4-3</v>
      </c>
      <c r="B111" s="19" t="n">
        <f aca="false">IFERROR(__xludf.dummyfunction("""COMPUTED_VALUE"""),43917)</f>
        <v>43917</v>
      </c>
      <c r="C111" s="0" t="n">
        <f aca="false">IFERROR(__xludf.dummyfunction("""COMPUTED_VALUE"""),3)</f>
        <v>3</v>
      </c>
      <c r="D111" s="0" t="str">
        <f aca="false">IFERROR(__xludf.dummyfunction("""COMPUTED_VALUE"""),"SICI201803-2-4| Se realizará seguimiento de las correcciones pertinentes. - 30/12/1899")</f>
        <v>SICI201803-2-4| Se realizará seguimiento de las correcciones pertinentes. - 30/12/1899</v>
      </c>
      <c r="E111" s="0" t="str">
        <f aca="false">IFERROR(__xludf.dummyfunction("""COMPUTED_VALUE"""),"Se continua con la Verificacion y control de turnos")</f>
        <v>Se continua con la Verificacion y control de turnos</v>
      </c>
      <c r="F111" s="0" t="str">
        <f aca="false">IFERROR(__xludf.dummyfunction("""COMPUTED_VALUE"""),"Completo")</f>
        <v>Completo</v>
      </c>
      <c r="G111" s="0" t="str">
        <f aca="false">IFERROR(__xludf.dummyfunction("""COMPUTED_VALUE"""),"https://drive.google.com/open?id=1j0TUI9H3kX_Ph-H2WeoXj_80NExj-07M, https://drive.google.com/open?id=1Ol0Ld7KuiOvD1ymA9u6ui28BhebBxBjm, https://drive.google.com/open?id=1o0nOC5oAyairzkgb79L5Klq8DRK9mLVt, https://drive.google.com/open?id=1xfK6WlICnRbGkXF4_"&amp;"q6Mm-TfXl2IdpTy")</f>
        <v>https://drive.google.com/open?id=1j0TUI9H3kX_Ph-H2WeoXj_80NExj-07M, https://drive.google.com/open?id=1Ol0Ld7KuiOvD1ymA9u6ui28BhebBxBjm, https://drive.google.com/open?id=1o0nOC5oAyairzkgb79L5Klq8DRK9mLVt, https://drive.google.com/open?id=1xfK6WlICnRbGkXF4_q6Mm-TfXl2IdpTy</v>
      </c>
    </row>
    <row r="112" customFormat="false" ht="14.25" hidden="false" customHeight="false" outlineLevel="0" collapsed="false">
      <c r="A112" s="18" t="str">
        <f aca="false">IFERROR(MID(D112,1,FIND("|",D112)-1)&amp;"-"&amp;C112,"")</f>
        <v>SICI201803-2-2-3</v>
      </c>
      <c r="B112" s="19" t="n">
        <f aca="false">IFERROR(__xludf.dummyfunction("""COMPUTED_VALUE"""),43917)</f>
        <v>43917</v>
      </c>
      <c r="C112" s="0" t="n">
        <f aca="false">IFERROR(__xludf.dummyfunction("""COMPUTED_VALUE"""),3)</f>
        <v>3</v>
      </c>
      <c r="D112" s="0" t="str">
        <f aca="false">IFERROR(__xludf.dummyfunction("""COMPUTED_VALUE"""),"SICI201803-2-2| Se generará instrumento de verificación (formato) con el fin de tener soporte escrito de la actividad realizada en el punto 1. - 30/12/1899")</f>
        <v>SICI201803-2-2| Se generará instrumento de verificación (formato) con el fin de tener soporte escrito de la actividad realizada en el punto 1. - 30/12/1899</v>
      </c>
      <c r="E112" s="0" t="str">
        <f aca="false">IFERROR(__xludf.dummyfunction("""COMPUTED_VALUE"""),"Se implemento la accion de Resellado de los productos  de control especial")</f>
        <v>Se implemento la accion de Resellado de los productos  de control especial</v>
      </c>
      <c r="F112" s="0" t="str">
        <f aca="false">IFERROR(__xludf.dummyfunction("""COMPUTED_VALUE"""),"Completo")</f>
        <v>Completo</v>
      </c>
      <c r="G112" s="0" t="str">
        <f aca="false">IFERROR(__xludf.dummyfunction("""COMPUTED_VALUE"""),"https://drive.google.com/open?id=1DRYFQIdb02FwI78E_r78pGH6s_E_ziVV, https://drive.google.com/open?id=1d5F96Qi0nvLyM2CErPCcIy7AJTIZqxP9, https://drive.google.com/open?id=1ehE_0lztVO881VgnA3EkOyCeXsvIeyjK, https://drive.google.com/open?id=17lwQxb6P7OSItOvNk"&amp;"9YmB1wtqes0cg4O")</f>
        <v>https://drive.google.com/open?id=1DRYFQIdb02FwI78E_r78pGH6s_E_ziVV, https://drive.google.com/open?id=1d5F96Qi0nvLyM2CErPCcIy7AJTIZqxP9, https://drive.google.com/open?id=1ehE_0lztVO881VgnA3EkOyCeXsvIeyjK, https://drive.google.com/open?id=17lwQxb6P7OSItOvNk9YmB1wtqes0cg4O</v>
      </c>
    </row>
    <row r="113" customFormat="false" ht="14.25" hidden="false" customHeight="false" outlineLevel="0" collapsed="false">
      <c r="A113" s="18" t="str">
        <f aca="false">IFERROR(MID(D113,1,FIND("|",D113)-1)&amp;"-"&amp;C113,"")</f>
        <v>SICI201803-2-3-3</v>
      </c>
      <c r="B113" s="19" t="n">
        <f aca="false">IFERROR(__xludf.dummyfunction("""COMPUTED_VALUE"""),43917)</f>
        <v>43917</v>
      </c>
      <c r="C113" s="0" t="n">
        <f aca="false">IFERROR(__xludf.dummyfunction("""COMPUTED_VALUE"""),3)</f>
        <v>3</v>
      </c>
      <c r="D113" s="0" t="str">
        <f aca="false">IFERROR(__xludf.dummyfunction("""COMPUTED_VALUE"""),"SICI201803-2-3| En caso de no cumplir con los requisitos de seguridad del mueble (chapas en buen estado) se notificará a través de la mesa de ayuda al área de mantenimiento o activos físicos para su reparación o cambio. - 30/12/1899")</f>
        <v>SICI201803-2-3| En caso de no cumplir con los requisitos de seguridad del mueble (chapas en buen estado) se notificará a través de la mesa de ayuda al área de mantenimiento o activos físicos para su reparación o cambio. - 30/12/1899</v>
      </c>
      <c r="E113" s="0" t="str">
        <f aca="false">IFERROR(__xludf.dummyfunction("""COMPUTED_VALUE"""),"Accion completada en seguimiento anterior chapas en buen estado")</f>
        <v>Accion completada en seguimiento anterior chapas en buen estado</v>
      </c>
      <c r="F113" s="0" t="str">
        <f aca="false">IFERROR(__xludf.dummyfunction("""COMPUTED_VALUE"""),"Completo")</f>
        <v>Completo</v>
      </c>
      <c r="G113" s="0" t="str">
        <f aca="false">IFERROR(__xludf.dummyfunction("""COMPUTED_VALUE"""),"https://drive.google.com/open?id=1VQ3kXDWKbyTeO8vgCg1YT1qBFqmi7Wrh, https://drive.google.com/open?id=15lUpwduy745VKP4OFhGFNVcqviBCMvZB")</f>
        <v>https://drive.google.com/open?id=1VQ3kXDWKbyTeO8vgCg1YT1qBFqmi7Wrh, https://drive.google.com/open?id=15lUpwduy745VKP4OFhGFNVcqviBCMvZB</v>
      </c>
    </row>
    <row r="114" customFormat="false" ht="14.25" hidden="false" customHeight="false" outlineLevel="0" collapsed="false">
      <c r="A114" s="18" t="str">
        <f aca="false">IFERROR(MID(D114,1,FIND("|",D114)-1)&amp;"-"&amp;C114,"")</f>
        <v>SICI201803-3-2-3</v>
      </c>
      <c r="B114" s="19" t="n">
        <f aca="false">IFERROR(__xludf.dummyfunction("""COMPUTED_VALUE"""),43917)</f>
        <v>43917</v>
      </c>
      <c r="C114" s="0" t="n">
        <f aca="false">IFERROR(__xludf.dummyfunction("""COMPUTED_VALUE"""),3)</f>
        <v>3</v>
      </c>
      <c r="D114" s="0" t="str">
        <f aca="false">IFERROR(__xludf.dummyfunction("""COMPUTED_VALUE"""),"SICI201803-3-2| Posterior a la fecha de notificación se exigirá desde el servicio farmacéutico dicho cumplimiento y no se recibirán devoluciones sin este documento. - 30/12/1899")</f>
        <v>SICI201803-3-2| Posterior a la fecha de notificación se exigirá desde el servicio farmacéutico dicho cumplimiento y no se recibirán devoluciones sin este documento. - 30/12/1899</v>
      </c>
      <c r="E114" s="0" t="str">
        <f aca="false">IFERROR(__xludf.dummyfunction("""COMPUTED_VALUE"""),"Se estan realizando las notificaciones para las devoluciones y se presenta registro en el sistema")</f>
        <v>Se estan realizando las notificaciones para las devoluciones y se presenta registro en el sistema</v>
      </c>
      <c r="F114" s="0" t="str">
        <f aca="false">IFERROR(__xludf.dummyfunction("""COMPUTED_VALUE"""),"Completo")</f>
        <v>Completo</v>
      </c>
      <c r="G114" s="0" t="str">
        <f aca="false">IFERROR(__xludf.dummyfunction("""COMPUTED_VALUE"""),"https://drive.google.com/open?id=15SMWZOH_p8-ymmbOYcYblrpUx3S2dqc5, https://drive.google.com/open?id=1h6LEonS7_8gVV53XdlgADOneONzyWWq3, https://drive.google.com/open?id=1MfSEQgJT63lmcrwHjpwgNqx5_oHD00qV")</f>
        <v>https://drive.google.com/open?id=15SMWZOH_p8-ymmbOYcYblrpUx3S2dqc5, https://drive.google.com/open?id=1h6LEonS7_8gVV53XdlgADOneONzyWWq3, https://drive.google.com/open?id=1MfSEQgJT63lmcrwHjpwgNqx5_oHD00qV</v>
      </c>
    </row>
    <row r="115" customFormat="false" ht="14.25" hidden="false" customHeight="false" outlineLevel="0" collapsed="false">
      <c r="A115" s="18" t="str">
        <f aca="false">IFERROR(MID(D115,1,FIND("|",D115)-1)&amp;"-"&amp;C115,"")</f>
        <v>SICI201803-3-1-3</v>
      </c>
      <c r="B115" s="19" t="n">
        <f aca="false">IFERROR(__xludf.dummyfunction("""COMPUTED_VALUE"""),43917)</f>
        <v>43917</v>
      </c>
      <c r="C115" s="0" t="n">
        <f aca="false">IFERROR(__xludf.dummyfunction("""COMPUTED_VALUE"""),3)</f>
        <v>3</v>
      </c>
      <c r="D115" s="0" t="str">
        <f aca="false">IFERROR(__xludf.dummyfunction("""COMPUTED_VALUE"""),"SICI201803-3-1| Se notificará al referente de enfermería el no cumplimiento del correcto uso y diligenciamiento del formato de devoluciones por parte de enfermeria. - 31/05/2019")</f>
        <v>SICI201803-3-1| Se notificará al referente de enfermería el no cumplimiento del correcto uso y diligenciamiento del formato de devoluciones por parte de enfermeria. - 31/05/2019</v>
      </c>
      <c r="E115" s="0" t="str">
        <f aca="false">IFERROR(__xludf.dummyfunction("""COMPUTED_VALUE"""),"Se esta  generando un informe de las devoluciones")</f>
        <v>Se esta  generando un informe de las devoluciones</v>
      </c>
      <c r="F115" s="0" t="str">
        <f aca="false">IFERROR(__xludf.dummyfunction("""COMPUTED_VALUE"""),"Completo")</f>
        <v>Completo</v>
      </c>
      <c r="G115" s="0" t="str">
        <f aca="false">IFERROR(__xludf.dummyfunction("""COMPUTED_VALUE"""),"https://drive.google.com/open?id=1ldnUxVQ62ZYS_zm4AmOm6XdrNOpNUfAX, https://drive.google.com/open?id=1hIFvc9OR7EoNQ7XDee3DGK2ZN95czl0Q, https://drive.google.com/open?id=15X96O5Xb5L26deDLT3zaEPSfUQoutKmg")</f>
        <v>https://drive.google.com/open?id=1ldnUxVQ62ZYS_zm4AmOm6XdrNOpNUfAX, https://drive.google.com/open?id=1hIFvc9OR7EoNQ7XDee3DGK2ZN95czl0Q, https://drive.google.com/open?id=15X96O5Xb5L26deDLT3zaEPSfUQoutKmg</v>
      </c>
    </row>
    <row r="116" customFormat="false" ht="14.25" hidden="false" customHeight="false" outlineLevel="0" collapsed="false">
      <c r="A116" s="18" t="str">
        <f aca="false">IFERROR(MID(D116,1,FIND("|",D116)-1)&amp;"-"&amp;C116,"")</f>
        <v>SICI201803-3-3-3</v>
      </c>
      <c r="B116" s="19" t="n">
        <f aca="false">IFERROR(__xludf.dummyfunction("""COMPUTED_VALUE"""),43917)</f>
        <v>43917</v>
      </c>
      <c r="C116" s="0" t="n">
        <f aca="false">IFERROR(__xludf.dummyfunction("""COMPUTED_VALUE"""),3)</f>
        <v>3</v>
      </c>
      <c r="D116" s="0" t="str">
        <f aca="false">IFERROR(__xludf.dummyfunction("""COMPUTED_VALUE"""),"SICI201803-3-3| Se notificará al equipo HIS sobre los inconvenientes presentados en cuanto a las devoluciones por sistema y se hará seguimiento. - 30/12/1899")</f>
        <v>SICI201803-3-3| Se notificará al equipo HIS sobre los inconvenientes presentados en cuanto a las devoluciones por sistema y se hará seguimiento. - 30/12/1899</v>
      </c>
      <c r="E116" s="0" t="str">
        <f aca="false">IFERROR(__xludf.dummyfunction("""COMPUTED_VALUE"""),"Se realizan talleres por parte de HIS a enfermería para la implementación del proceso pero no se ha logrado resultados ")</f>
        <v>Se realizan talleres por parte de HIS a enfermería para la implementación del proceso pero no se ha logrado resultados </v>
      </c>
      <c r="F116" s="0" t="str">
        <f aca="false">IFERROR(__xludf.dummyfunction("""COMPUTED_VALUE"""),"Completo")</f>
        <v>Completo</v>
      </c>
      <c r="G116" s="0" t="str">
        <f aca="false">IFERROR(__xludf.dummyfunction("""COMPUTED_VALUE"""),"https://drive.google.com/open?id=1EO-dTXBNCUpbETmHyTO377FGmmj5CNS2, https://drive.google.com/open?id=1xsVpU0Pu9tL3bTpatQYEZO4UtEr0hPwr, https://drive.google.com/open?id=1LnglnrSfPCUFII3bLyqAv8BOhdZULigk")</f>
        <v>https://drive.google.com/open?id=1EO-dTXBNCUpbETmHyTO377FGmmj5CNS2, https://drive.google.com/open?id=1xsVpU0Pu9tL3bTpatQYEZO4UtEr0hPwr, https://drive.google.com/open?id=1LnglnrSfPCUFII3bLyqAv8BOhdZULigk</v>
      </c>
    </row>
    <row r="117" customFormat="false" ht="14.25" hidden="false" customHeight="false" outlineLevel="0" collapsed="false">
      <c r="A117" s="18" t="str">
        <f aca="false">IFERROR(MID(D117,1,FIND("|",D117)-1)&amp;"-"&amp;C117,"")</f>
        <v>SICI201803-3-3-3</v>
      </c>
      <c r="B117" s="19" t="n">
        <f aca="false">IFERROR(__xludf.dummyfunction("""COMPUTED_VALUE"""),43917)</f>
        <v>43917</v>
      </c>
      <c r="C117" s="0" t="n">
        <f aca="false">IFERROR(__xludf.dummyfunction("""COMPUTED_VALUE"""),3)</f>
        <v>3</v>
      </c>
      <c r="D117" s="0" t="str">
        <f aca="false">IFERROR(__xludf.dummyfunction("""COMPUTED_VALUE"""),"SICI201803-3-3| Se notificará al equipo HIS sobre los inconvenientes presentados en cuanto a las devoluciones por sistema y se hará seguimiento. - 30/12/1899")</f>
        <v>SICI201803-3-3| Se notificará al equipo HIS sobre los inconvenientes presentados en cuanto a las devoluciones por sistema y se hará seguimiento. - 30/12/1899</v>
      </c>
      <c r="E117" s="0" t="str">
        <f aca="false">IFERROR(__xludf.dummyfunction("""COMPUTED_VALUE"""),"Se realizan talleres por parte de HIS a enfermería para la implementación del proceso pero no se ha logrado resultados ")</f>
        <v>Se realizan talleres por parte de HIS a enfermería para la implementación del proceso pero no se ha logrado resultados </v>
      </c>
      <c r="F117" s="0" t="str">
        <f aca="false">IFERROR(__xludf.dummyfunction("""COMPUTED_VALUE"""),"Completo")</f>
        <v>Completo</v>
      </c>
      <c r="G117" s="0" t="str">
        <f aca="false">IFERROR(__xludf.dummyfunction("""COMPUTED_VALUE"""),"https://drive.google.com/open?id=1bhXsQe65zkqkHWZOTuf7EYsQ0rMkr7Ea, https://drive.google.com/open?id=1oxXKLfA88tV1dBESK_jLHEh18GibwCAK, https://drive.google.com/open?id=13zuM__l1I9CRjvkFYEVmhHptrGjIrr-E")</f>
        <v>https://drive.google.com/open?id=1bhXsQe65zkqkHWZOTuf7EYsQ0rMkr7Ea, https://drive.google.com/open?id=1oxXKLfA88tV1dBESK_jLHEh18GibwCAK, https://drive.google.com/open?id=13zuM__l1I9CRjvkFYEVmhHptrGjIrr-E</v>
      </c>
    </row>
    <row r="118" customFormat="false" ht="14.25" hidden="false" customHeight="false" outlineLevel="0" collapsed="false">
      <c r="A118" s="18" t="str">
        <f aca="false">IFERROR(MID(D118,1,FIND("|",D118)-1)&amp;"-"&amp;C118,"")</f>
        <v>SICI201803-5-1-3</v>
      </c>
      <c r="B118" s="19" t="n">
        <f aca="false">IFERROR(__xludf.dummyfunction("""COMPUTED_VALUE"""),43917)</f>
        <v>43917</v>
      </c>
      <c r="C118" s="0" t="n">
        <f aca="false">IFERROR(__xludf.dummyfunction("""COMPUTED_VALUE"""),3)</f>
        <v>3</v>
      </c>
      <c r="D118" s="0" t="str">
        <f aca="false">IFERROR(__xludf.dummyfunction("""COMPUTED_VALUE"""),"SICI201803-5-1| Se notificará a Supervisión de contratos la necesidad de la dispensación de forma completa y oportuna el pedido de 45 días con el fin de minimizar los medicamentos o insumos faltantes. - 30/04/2019")</f>
        <v>SICI201803-5-1| Se notificará a Supervisión de contratos la necesidad de la dispensación de forma completa y oportuna el pedido de 45 días con el fin de minimizar los medicamentos o insumos faltantes. - 30/04/2019</v>
      </c>
      <c r="E118" s="0" t="str">
        <f aca="false">IFERROR(__xludf.dummyfunction("""COMPUTED_VALUE"""),"Se continua con el envio de correos accion completada desde el segumiento anterior")</f>
        <v>Se continua con el envio de correos accion completada desde el segumiento anterior</v>
      </c>
      <c r="F118" s="0" t="str">
        <f aca="false">IFERROR(__xludf.dummyfunction("""COMPUTED_VALUE"""),"Completo")</f>
        <v>Completo</v>
      </c>
      <c r="G118" s="0" t="str">
        <f aca="false">IFERROR(__xludf.dummyfunction("""COMPUTED_VALUE"""),"https://drive.google.com/open?id=1cG4fa4XTIncyvvMsMhQ-3FLrPqbyQH9c, https://drive.google.com/open?id=1u2jX_qTH0E0zyaDreiH57hXFy6g1J3v8, https://drive.google.com/open?id=1m_zTPWmVYeUywxqAYZOywbpGtzWZ5poa, https://drive.google.com/open?id=1DRceTEGBiZbPuUrql"&amp;"FbBPDpIt7MRqaNB, https://drive.google.com/open?id=1LdS25SehWUCd6REebb_MasYiWXP0WjG5")</f>
        <v>https://drive.google.com/open?id=1cG4fa4XTIncyvvMsMhQ-3FLrPqbyQH9c, https://drive.google.com/open?id=1u2jX_qTH0E0zyaDreiH57hXFy6g1J3v8, https://drive.google.com/open?id=1m_zTPWmVYeUywxqAYZOywbpGtzWZ5poa, https://drive.google.com/open?id=1DRceTEGBiZbPuUrqlFbBPDpIt7MRqaNB, https://drive.google.com/open?id=1LdS25SehWUCd6REebb_MasYiWXP0WjG5</v>
      </c>
    </row>
    <row r="119" customFormat="false" ht="14.25" hidden="false" customHeight="false" outlineLevel="0" collapsed="false">
      <c r="A119" s="18" t="str">
        <f aca="false">IFERROR(MID(D119,1,FIND("|",D119)-1)&amp;"-"&amp;C119,"")</f>
        <v>SICI201803-6-1-3</v>
      </c>
      <c r="B119" s="19" t="n">
        <f aca="false">IFERROR(__xludf.dummyfunction("""COMPUTED_VALUE"""),43917)</f>
        <v>43917</v>
      </c>
      <c r="C119" s="0" t="n">
        <f aca="false">IFERROR(__xludf.dummyfunction("""COMPUTED_VALUE"""),3)</f>
        <v>3</v>
      </c>
      <c r="D119" s="0" t="str">
        <f aca="false">IFERROR(__xludf.dummyfunction("""COMPUTED_VALUE"""),"SICI201803-6-1| Se notificara al área de Supervisión de contratos la necesidad de la dispensación de forma completa y oportuna del pedido de 45 dias con el fin de minimizar faltantes y pendientes. - 30/04/2019")</f>
        <v>SICI201803-6-1| Se notificara al área de Supervisión de contratos la necesidad de la dispensación de forma completa y oportuna del pedido de 45 dias con el fin de minimizar faltantes y pendientes. - 30/04/2019</v>
      </c>
      <c r="E119" s="0" t="str">
        <f aca="false">IFERROR(__xludf.dummyfunction("""COMPUTED_VALUE"""),"Se continua con el envio de correos accion completada desde el segumiento anterior")</f>
        <v>Se continua con el envio de correos accion completada desde el segumiento anterior</v>
      </c>
      <c r="F119" s="0" t="str">
        <f aca="false">IFERROR(__xludf.dummyfunction("""COMPUTED_VALUE"""),"Completo")</f>
        <v>Completo</v>
      </c>
      <c r="G119" s="0" t="str">
        <f aca="false">IFERROR(__xludf.dummyfunction("""COMPUTED_VALUE"""),"https://drive.google.com/open?id=1JK1U4Sv9ciiO_CPBhEp37r3nMTz_z3gZ, https://drive.google.com/open?id=1D3-WhQEQSgXLcJ792zSKnSkK8RWGB2z6, https://drive.google.com/open?id=11EukAhMq6CdicOs6bHF6alQ17NDFgMEC, https://drive.google.com/open?id=1rczvebNn2bsiOyGV3"&amp;"iBoGN5qY3wbzCVu")</f>
        <v>https://drive.google.com/open?id=1JK1U4Sv9ciiO_CPBhEp37r3nMTz_z3gZ, https://drive.google.com/open?id=1D3-WhQEQSgXLcJ792zSKnSkK8RWGB2z6, https://drive.google.com/open?id=11EukAhMq6CdicOs6bHF6alQ17NDFgMEC, https://drive.google.com/open?id=1rczvebNn2bsiOyGV3iBoGN5qY3wbzCVu</v>
      </c>
    </row>
    <row r="120" customFormat="false" ht="14.25" hidden="false" customHeight="false" outlineLevel="0" collapsed="false">
      <c r="A120" s="18" t="str">
        <f aca="false">IFERROR(MID(D120,1,FIND("|",D120)-1)&amp;"-"&amp;C120,"")</f>
        <v>SICI201803-5-2-3</v>
      </c>
      <c r="B120" s="19" t="n">
        <f aca="false">IFERROR(__xludf.dummyfunction("""COMPUTED_VALUE"""),43917)</f>
        <v>43917</v>
      </c>
      <c r="C120" s="0" t="n">
        <f aca="false">IFERROR(__xludf.dummyfunction("""COMPUTED_VALUE"""),3)</f>
        <v>3</v>
      </c>
      <c r="D120" s="0" t="str">
        <f aca="false">IFERROR(__xludf.dummyfunction("""COMPUTED_VALUE"""),"SICI201803-5-2| Se notificará al área de caja menor la necesidad de la gestión de forma inmediata de los medicamentos y dispositivos en menos de 24 horas. - 30/12/1899")</f>
        <v>SICI201803-5-2| Se notificará al área de caja menor la necesidad de la gestión de forma inmediata de los medicamentos y dispositivos en menos de 24 horas. - 30/12/1899</v>
      </c>
      <c r="E120" s="0" t="str">
        <f aca="false">IFERROR(__xludf.dummyfunction("""COMPUTED_VALUE"""),"La acción se ha completado desde el seguimiento anterior, se continua con notificaciones y solicitudes a caja menor.")</f>
        <v>La acción se ha completado desde el seguimiento anterior, se continua con notificaciones y solicitudes a caja menor.</v>
      </c>
      <c r="F120" s="0" t="str">
        <f aca="false">IFERROR(__xludf.dummyfunction("""COMPUTED_VALUE"""),"Completo")</f>
        <v>Completo</v>
      </c>
      <c r="G120" s="0" t="str">
        <f aca="false">IFERROR(__xludf.dummyfunction("""COMPUTED_VALUE"""),"https://drive.google.com/open?id=1bEZ9RseeoLkpdt5S9HB7-6loewMXXK4g, https://drive.google.com/open?id=1ahinGHYeD74BvYM9fz9n3ZeFV_GcCRHC, https://drive.google.com/open?id=1kXr7b1jK7RBRb356cNJNhJ-BNog8biVJ")</f>
        <v>https://drive.google.com/open?id=1bEZ9RseeoLkpdt5S9HB7-6loewMXXK4g, https://drive.google.com/open?id=1ahinGHYeD74BvYM9fz9n3ZeFV_GcCRHC, https://drive.google.com/open?id=1kXr7b1jK7RBRb356cNJNhJ-BNog8biVJ</v>
      </c>
    </row>
    <row r="121" customFormat="false" ht="14.25" hidden="false" customHeight="false" outlineLevel="0" collapsed="false">
      <c r="A121" s="18" t="str">
        <f aca="false">IFERROR(MID(D121,1,FIND("|",D121)-1)&amp;"-"&amp;C121,"")</f>
        <v>SICI201803-6-2-3</v>
      </c>
      <c r="B121" s="19" t="n">
        <f aca="false">IFERROR(__xludf.dummyfunction("""COMPUTED_VALUE"""),43917)</f>
        <v>43917</v>
      </c>
      <c r="C121" s="0" t="n">
        <f aca="false">IFERROR(__xludf.dummyfunction("""COMPUTED_VALUE"""),3)</f>
        <v>3</v>
      </c>
      <c r="D121" s="0" t="str">
        <f aca="false">IFERROR(__xludf.dummyfunction("""COMPUTED_VALUE"""),"SICI201803-6-2| Se notificará al área de Caja Menor la necesidad de la gestión de forma inmediata de los medicamentos y dispositivos. (En menos de 24 horas). - 30/12/1899")</f>
        <v>SICI201803-6-2| Se notificará al área de Caja Menor la necesidad de la gestión de forma inmediata de los medicamentos y dispositivos. (En menos de 24 horas). - 30/12/1899</v>
      </c>
      <c r="E121" s="0" t="str">
        <f aca="false">IFERROR(__xludf.dummyfunction("""COMPUTED_VALUE"""),"La acción se ha completado desde el seguimiento anterior, se continua con notificaciones y solicitudes a caja menor.")</f>
        <v>La acción se ha completado desde el seguimiento anterior, se continua con notificaciones y solicitudes a caja menor.</v>
      </c>
      <c r="F121" s="0" t="str">
        <f aca="false">IFERROR(__xludf.dummyfunction("""COMPUTED_VALUE"""),"Completo")</f>
        <v>Completo</v>
      </c>
      <c r="G121" s="0" t="str">
        <f aca="false">IFERROR(__xludf.dummyfunction("""COMPUTED_VALUE"""),"https://drive.google.com/open?id=16dY-f-WIilrkKJKBL_GaNKVGbF_h6ihx, https://drive.google.com/open?id=1ff-WpTsvZx_8fWn-M6ZMTNJR9SNigXd7, https://drive.google.com/open?id=10eWcgr3u-EZpxaQrb0SScJrTFxCptm3c")</f>
        <v>https://drive.google.com/open?id=16dY-f-WIilrkKJKBL_GaNKVGbF_h6ihx, https://drive.google.com/open?id=1ff-WpTsvZx_8fWn-M6ZMTNJR9SNigXd7, https://drive.google.com/open?id=10eWcgr3u-EZpxaQrb0SScJrTFxCptm3c</v>
      </c>
    </row>
    <row r="122" customFormat="false" ht="14.25" hidden="false" customHeight="false" outlineLevel="0" collapsed="false">
      <c r="A122" s="18" t="str">
        <f aca="false">IFERROR(MID(D122,1,FIND("|",D122)-1)&amp;"-"&amp;C122,"")</f>
        <v>SICI201803-7-1-3</v>
      </c>
      <c r="B122" s="19" t="n">
        <f aca="false">IFERROR(__xludf.dummyfunction("""COMPUTED_VALUE"""),43917)</f>
        <v>43917</v>
      </c>
      <c r="C122" s="0" t="n">
        <f aca="false">IFERROR(__xludf.dummyfunction("""COMPUTED_VALUE"""),3)</f>
        <v>3</v>
      </c>
      <c r="D122" s="0" t="str">
        <f aca="false">IFERROR(__xludf.dummyfunction("""COMPUTED_VALUE"""),"SICI201803-7-1| Se notificará al área de Facturación la problemática referente a la facturación de medicamentos que no son entregados. El proceso adecuado es facturar lo entregado. - 30/04/2019")</f>
        <v>SICI201803-7-1| Se notificará al área de Facturación la problemática referente a la facturación de medicamentos que no son entregados. El proceso adecuado es facturar lo entregado. - 30/04/2019</v>
      </c>
      <c r="E122" s="0" t="str">
        <f aca="false">IFERROR(__xludf.dummyfunction("""COMPUTED_VALUE"""),"Se tiene soporte de envio a Facturacion sobre la facturacion de medicamentos")</f>
        <v>Se tiene soporte de envio a Facturacion sobre la facturacion de medicamentos</v>
      </c>
      <c r="F122" s="0" t="str">
        <f aca="false">IFERROR(__xludf.dummyfunction("""COMPUTED_VALUE"""),"Completo")</f>
        <v>Completo</v>
      </c>
      <c r="G122" s="20" t="str">
        <f aca="false">IFERROR(__xludf.dummyfunction("""COMPUTED_VALUE"""),"https://drive.google.com/open?id=1yfYzaZI0GCL_t_3Jj-OIdZI9jfC8MeHn")</f>
        <v>https://drive.google.com/open?id=1yfYzaZI0GCL_t_3Jj-OIdZI9jfC8MeHn</v>
      </c>
    </row>
    <row r="123" customFormat="false" ht="14.25" hidden="false" customHeight="false" outlineLevel="0" collapsed="false">
      <c r="A123" s="18" t="str">
        <f aca="false">IFERROR(MID(D123,1,FIND("|",D123)-1)&amp;"-"&amp;C123,"")</f>
        <v>SICI201803-8-1-3</v>
      </c>
      <c r="B123" s="19" t="n">
        <f aca="false">IFERROR(__xludf.dummyfunction("""COMPUTED_VALUE"""),43917)</f>
        <v>43917</v>
      </c>
      <c r="C123" s="0" t="n">
        <f aca="false">IFERROR(__xludf.dummyfunction("""COMPUTED_VALUE"""),3)</f>
        <v>3</v>
      </c>
      <c r="D123" s="0" t="str">
        <f aca="false">IFERROR(__xludf.dummyfunction("""COMPUTED_VALUE"""),"SICI201803-8-1| Se generará instrumento (formato) en el cual se puedan registrar los movimientos generados en cada sede y se refllejen los préstamos con sus respectivos traslados y responsables de dicha actividad. - 01/05/2019")</f>
        <v>SICI201803-8-1| Se generará instrumento (formato) en el cual se puedan registrar los movimientos generados en cada sede y se refllejen los préstamos con sus respectivos traslados y responsables de dicha actividad. - 01/05/2019</v>
      </c>
      <c r="E123" s="0" t="str">
        <f aca="false">IFERROR(__xludf.dummyfunction("""COMPUTED_VALUE"""),"Se generó formato  para registrar los traslados  acción completada del seguimiento anterior")</f>
        <v>Se generó formato  para registrar los traslados  acción completada del seguimiento anterior</v>
      </c>
      <c r="F123" s="0" t="str">
        <f aca="false">IFERROR(__xludf.dummyfunction("""COMPUTED_VALUE"""),"Completo")</f>
        <v>Completo</v>
      </c>
      <c r="G123" s="0" t="str">
        <f aca="false">IFERROR(__xludf.dummyfunction("""COMPUTED_VALUE"""),"https://drive.google.com/open?id=1tAxsdVKq_XDUF-rrUFqaT4FYC9hma9Zq, https://drive.google.com/open?id=1Qke4FzfqpdIQ4zyzfm5K_1bfZ5sPT7qY")</f>
        <v>https://drive.google.com/open?id=1tAxsdVKq_XDUF-rrUFqaT4FYC9hma9Zq, https://drive.google.com/open?id=1Qke4FzfqpdIQ4zyzfm5K_1bfZ5sPT7qY</v>
      </c>
    </row>
    <row r="124" customFormat="false" ht="14.25" hidden="false" customHeight="false" outlineLevel="0" collapsed="false">
      <c r="A124" s="18" t="str">
        <f aca="false">IFERROR(MID(D124,1,FIND("|",D124)-1)&amp;"-"&amp;C124,"")</f>
        <v>SICI201803-7-2-3</v>
      </c>
      <c r="B124" s="19" t="n">
        <f aca="false">IFERROR(__xludf.dummyfunction("""COMPUTED_VALUE"""),43917)</f>
        <v>43917</v>
      </c>
      <c r="C124" s="0" t="n">
        <f aca="false">IFERROR(__xludf.dummyfunction("""COMPUTED_VALUE"""),3)</f>
        <v>3</v>
      </c>
      <c r="D124" s="0" t="str">
        <f aca="false">IFERROR(__xludf.dummyfunction("""COMPUTED_VALUE"""),"SICI201803-7-2| Se solicitará al área de facturación instructivo para el manejo del cobro directo y que no se vea afectado el paciente. - 30/12/1899")</f>
        <v>SICI201803-7-2| Se solicitará al área de facturación instructivo para el manejo del cobro directo y que no se vea afectado el paciente. - 30/12/1899</v>
      </c>
      <c r="E124" s="0" t="str">
        <f aca="false">IFERROR(__xludf.dummyfunction("""COMPUTED_VALUE"""),"Se envio Correo a facturacion para  procurar la solucion de la situación")</f>
        <v>Se envio Correo a facturacion para  procurar la solucion de la situación</v>
      </c>
      <c r="F124" s="0" t="str">
        <f aca="false">IFERROR(__xludf.dummyfunction("""COMPUTED_VALUE"""),"Completo")</f>
        <v>Completo</v>
      </c>
      <c r="G124" s="20" t="str">
        <f aca="false">IFERROR(__xludf.dummyfunction("""COMPUTED_VALUE"""),"https://drive.google.com/open?id=1rJn5w7_uYdjVC1CAF83HqtNZMQgO3AhR")</f>
        <v>https://drive.google.com/open?id=1rJn5w7_uYdjVC1CAF83HqtNZMQgO3AhR</v>
      </c>
    </row>
    <row r="125" customFormat="false" ht="14.25" hidden="false" customHeight="false" outlineLevel="0" collapsed="false">
      <c r="A125" s="18" t="str">
        <f aca="false">IFERROR(MID(D125,1,FIND("|",D125)-1)&amp;"-"&amp;C125,"")</f>
        <v>SICI201803-13-1-3</v>
      </c>
      <c r="B125" s="19" t="n">
        <f aca="false">IFERROR(__xludf.dummyfunction("""COMPUTED_VALUE"""),43917)</f>
        <v>43917</v>
      </c>
      <c r="C125" s="0" t="n">
        <f aca="false">IFERROR(__xludf.dummyfunction("""COMPUTED_VALUE"""),3)</f>
        <v>3</v>
      </c>
      <c r="D125" s="0" t="str">
        <f aca="false">IFERROR(__xludf.dummyfunction("""COMPUTED_VALUE"""),"SICI201803-13-1| El servicio farmacéutico notificará al área de contingencia de facturación las caídas constantes de sistema vía correo electrónico y whatsapp. - 31/05/2019")</f>
        <v>SICI201803-13-1| El servicio farmacéutico notificará al área de contingencia de facturación las caídas constantes de sistema vía correo electrónico y whatsapp. - 31/05/2019</v>
      </c>
      <c r="E125" s="0" t="str">
        <f aca="false">IFERROR(__xludf.dummyfunction("""COMPUTED_VALUE"""),"Acción Completada del Seguimiento anterior se sigue enviando notificaciones")</f>
        <v>Acción Completada del Seguimiento anterior se sigue enviando notificaciones</v>
      </c>
      <c r="F125" s="0" t="str">
        <f aca="false">IFERROR(__xludf.dummyfunction("""COMPUTED_VALUE"""),"Completo")</f>
        <v>Completo</v>
      </c>
      <c r="G125" s="20" t="str">
        <f aca="false">IFERROR(__xludf.dummyfunction("""COMPUTED_VALUE"""),"https://drive.google.com/open?id=19AyTvn-67cYBlZZJRy-lcWLPKTH9VhUa")</f>
        <v>https://drive.google.com/open?id=19AyTvn-67cYBlZZJRy-lcWLPKTH9VhUa</v>
      </c>
    </row>
    <row r="126" customFormat="false" ht="14.25" hidden="false" customHeight="false" outlineLevel="0" collapsed="false">
      <c r="A126" s="18" t="str">
        <f aca="false">IFERROR(MID(D126,1,FIND("|",D126)-1)&amp;"-"&amp;C126,"")</f>
        <v>SICI201803-13-2-3</v>
      </c>
      <c r="B126" s="19" t="n">
        <f aca="false">IFERROR(__xludf.dummyfunction("""COMPUTED_VALUE"""),43917)</f>
        <v>43917</v>
      </c>
      <c r="C126" s="0" t="n">
        <f aca="false">IFERROR(__xludf.dummyfunction("""COMPUTED_VALUE"""),3)</f>
        <v>3</v>
      </c>
      <c r="D126" s="0" t="str">
        <f aca="false">IFERROR(__xludf.dummyfunction("""COMPUTED_VALUE"""),"SICI201803-13-2| El Servicio farmacéutico notificará al área de facturación y/o admisiones cuando se requiera de apertura de cuentas con el fin de realizar el cargue respectivo o informar sobre novedades de pacientes. Así mimo se solicitará a éstas áreas "&amp;"que las cuentas sean abiertas de forma oportuna (menos de 24 horas) - 30/12/1899")</f>
        <v>SICI201803-13-2| El Servicio farmacéutico notificará al área de facturación y/o admisiones cuando se requiera de apertura de cuentas con el fin de realizar el cargue respectivo o informar sobre novedades de pacientes. Así mimo se solicitará a éstas áreas que las cuentas sean abiertas de forma oportuna (menos de 24 horas) - 30/12/1899</v>
      </c>
      <c r="E126" s="0" t="str">
        <f aca="false">IFERROR(__xludf.dummyfunction("""COMPUTED_VALUE"""),"Se revisa y aun se siguen realizando las notificaciones a facturación para apertura de cuentas de los pacientes completada ")</f>
        <v>Se revisa y aun se siguen realizando las notificaciones a facturación para apertura de cuentas de los pacientes completada </v>
      </c>
      <c r="F126" s="0" t="str">
        <f aca="false">IFERROR(__xludf.dummyfunction("""COMPUTED_VALUE"""),"Completo")</f>
        <v>Completo</v>
      </c>
      <c r="G126" s="20" t="str">
        <f aca="false">IFERROR(__xludf.dummyfunction("""COMPUTED_VALUE"""),"https://drive.google.com/open?id=1416Ep0r0G2tHww5BDCUOszyl-ezn1Gme")</f>
        <v>https://drive.google.com/open?id=1416Ep0r0G2tHww5BDCUOszyl-ezn1Gme</v>
      </c>
    </row>
    <row r="127" customFormat="false" ht="14.25" hidden="false" customHeight="false" outlineLevel="0" collapsed="false">
      <c r="A127" s="18" t="str">
        <f aca="false">IFERROR(MID(D127,1,FIND("|",D127)-1)&amp;"-"&amp;C127,"")</f>
        <v>SICI201803-13-3-3</v>
      </c>
      <c r="B127" s="19" t="n">
        <f aca="false">IFERROR(__xludf.dummyfunction("""COMPUTED_VALUE"""),43917)</f>
        <v>43917</v>
      </c>
      <c r="C127" s="0" t="n">
        <f aca="false">IFERROR(__xludf.dummyfunction("""COMPUTED_VALUE"""),3)</f>
        <v>3</v>
      </c>
      <c r="D127" s="0" t="str">
        <f aca="false">IFERROR(__xludf.dummyfunction("""COMPUTED_VALUE"""),"SICI201803-13-3| El Servicio farmacéutico notificará al área de suministros (almacenes) acerca de la necesidad de ajustar sus procesos para evitar valores negativos que impidan el cargue en el sistema. - 30/12/1899")</f>
        <v>SICI201803-13-3| El Servicio farmacéutico notificará al área de suministros (almacenes) acerca de la necesidad de ajustar sus procesos para evitar valores negativos que impidan el cargue en el sistema. - 30/12/1899</v>
      </c>
      <c r="E127" s="0" t="str">
        <f aca="false">IFERROR(__xludf.dummyfunction("""COMPUTED_VALUE"""),"La acción se cerró en el seguimiento anterior, los valores negativos pueden presentarse por actualizaciones de software  se siguen notificando cuando sucede.")</f>
        <v>La acción se cerró en el seguimiento anterior, los valores negativos pueden presentarse por actualizaciones de software  se siguen notificando cuando sucede.</v>
      </c>
      <c r="F127" s="0" t="str">
        <f aca="false">IFERROR(__xludf.dummyfunction("""COMPUTED_VALUE"""),"Completo")</f>
        <v>Completo</v>
      </c>
      <c r="G127" s="0" t="str">
        <f aca="false">IFERROR(__xludf.dummyfunction("""COMPUTED_VALUE"""),"https://drive.google.com/open?id=1bPQPKOs7uO2sS9DryA58Ez-KtQ9NWreD, https://drive.google.com/open?id=1oltNgYgby6wRLRu3R5exIZIl0BlFS9dp, https://drive.google.com/open?id=17UaO_z6zgZALzAKd3iZcU3DWfG7GG8Vz")</f>
        <v>https://drive.google.com/open?id=1bPQPKOs7uO2sS9DryA58Ez-KtQ9NWreD, https://drive.google.com/open?id=1oltNgYgby6wRLRu3R5exIZIl0BlFS9dp, https://drive.google.com/open?id=17UaO_z6zgZALzAKd3iZcU3DWfG7GG8Vz</v>
      </c>
    </row>
    <row r="128" customFormat="false" ht="14.25" hidden="false" customHeight="false" outlineLevel="0" collapsed="false">
      <c r="A128" s="18" t="str">
        <f aca="false">IFERROR(MID(D128,1,FIND("|",D128)-1)&amp;"-"&amp;C128,"")</f>
        <v>SICI201803-13-4-3</v>
      </c>
      <c r="B128" s="19" t="n">
        <f aca="false">IFERROR(__xludf.dummyfunction("""COMPUTED_VALUE"""),43917)</f>
        <v>43917</v>
      </c>
      <c r="C128" s="0" t="n">
        <f aca="false">IFERROR(__xludf.dummyfunction("""COMPUTED_VALUE"""),3)</f>
        <v>3</v>
      </c>
      <c r="D128" s="0" t="str">
        <f aca="false">IFERROR(__xludf.dummyfunction("""COMPUTED_VALUE"""),"SICI201803-13-4| Se solicitará al área de suministros (almacenes) ajustar el proceso de traslado de medicamentos y/o insumos a la farmacia indicando que es necesario que lo que sea cargado en el sistema por parte de los almacénes debe ser entregado oportu"&amp;"namente a las farmacias para que los saldos físicos coincidan con los saldos en sistema. - 30/12/1899")</f>
        <v>SICI201803-13-4| Se solicitará al área de suministros (almacenes) ajustar el proceso de traslado de medicamentos y/o insumos a la farmacia indicando que es necesario que lo que sea cargado en el sistema por parte de los almacénes debe ser entregado oportunamente a las farmacias para que los saldos físicos coincidan con los saldos en sistema. - 30/12/1899</v>
      </c>
      <c r="E128" s="0" t="str">
        <f aca="false">IFERROR(__xludf.dummyfunction("""COMPUTED_VALUE"""),"Se mantiene la tarea de informar a almacen,  solicitando el cargue de los traslados para mantener al día el sistema, no se presenta ya tan frecuente. la acción ya está completa")</f>
        <v>Se mantiene la tarea de informar a almacen,  solicitando el cargue de los traslados para mantener al día el sistema, no se presenta ya tan frecuente. la acción ya está completa</v>
      </c>
      <c r="F128" s="0" t="str">
        <f aca="false">IFERROR(__xludf.dummyfunction("""COMPUTED_VALUE"""),"Completo")</f>
        <v>Completo</v>
      </c>
      <c r="G128" s="0" t="str">
        <f aca="false">IFERROR(__xludf.dummyfunction("""COMPUTED_VALUE"""),"https://drive.google.com/open?id=1yiOkhxWcyepO1VtkGMu1Yvo-UsbhvzO_, https://drive.google.com/open?id=1jLQ_mq6Z-y1yZIRSz5KHVs0SjHa9ouKf")</f>
        <v>https://drive.google.com/open?id=1yiOkhxWcyepO1VtkGMu1Yvo-UsbhvzO_, https://drive.google.com/open?id=1jLQ_mq6Z-y1yZIRSz5KHVs0SjHa9ouKf</v>
      </c>
    </row>
    <row r="129" customFormat="false" ht="14.25" hidden="false" customHeight="false" outlineLevel="0" collapsed="false">
      <c r="A129" s="18" t="str">
        <f aca="false">IFERROR(MID(D129,1,FIND("|",D129)-1)&amp;"-"&amp;C129,"")</f>
        <v>SICI201803-13-5-3</v>
      </c>
      <c r="B129" s="19" t="n">
        <f aca="false">IFERROR(__xludf.dummyfunction("""COMPUTED_VALUE"""),43917)</f>
        <v>43917</v>
      </c>
      <c r="C129" s="0" t="n">
        <f aca="false">IFERROR(__xludf.dummyfunction("""COMPUTED_VALUE"""),3)</f>
        <v>3</v>
      </c>
      <c r="D129" s="0" t="str">
        <f aca="false">IFERROR(__xludf.dummyfunction("""COMPUTED_VALUE"""),"SICI201803-13-5| Se notificará al personal asistencial que el servicio farmacéutico no entregará medicamentos y/o insumos sin que se allegue la respectiva prescripción médica en cumplimiento con la normatividad vigente a menos que previamente se haya agot"&amp;"ado la opción del uso del carro de paro y que se trate de un medicamento o insumo para tratar un caso de urgencia vital. Lo anterior de acuerdo a decisión tomada en Comité de Farmacia y Terapéutica de Enero de 2019. - 30/12/1899")</f>
        <v>SICI201803-13-5| Se notificará al personal asistencial que el servicio farmacéutico no entregará medicamentos y/o insumos sin que se allegue la respectiva prescripción médica en cumplimiento con la normatividad vigente a menos que previamente se haya agotado la opción del uso del carro de paro y que se trate de un medicamento o insumo para tratar un caso de urgencia vital. Lo anterior de acuerdo a decisión tomada en Comité de Farmacia y Terapéutica de Enero de 2019. - 30/12/1899</v>
      </c>
      <c r="E129" s="0" t="str">
        <f aca="false">IFERROR(__xludf.dummyfunction("""COMPUTED_VALUE"""),"se lleva un libro de registro de los prestamos con prescripción medica y se notifican los prestamos solo para urgencias vitales")</f>
        <v>se lleva un libro de registro de los prestamos con prescripción medica y se notifican los prestamos solo para urgencias vitales</v>
      </c>
      <c r="F129" s="0" t="str">
        <f aca="false">IFERROR(__xludf.dummyfunction("""COMPUTED_VALUE"""),"Completo")</f>
        <v>Completo</v>
      </c>
      <c r="G129" s="0" t="str">
        <f aca="false">IFERROR(__xludf.dummyfunction("""COMPUTED_VALUE"""),"https://drive.google.com/open?id=1HT-2IVTpJL4GJGexptWyrmZUtYmTfEre, https://drive.google.com/open?id=1VT51guzZHFws6OZe2IdLvIUpb_tIRHHW, https://drive.google.com/open?id=1blg5J2nzPj-ib-MNL4XXXfIDPPP9zBir")</f>
        <v>https://drive.google.com/open?id=1HT-2IVTpJL4GJGexptWyrmZUtYmTfEre, https://drive.google.com/open?id=1VT51guzZHFws6OZe2IdLvIUpb_tIRHHW, https://drive.google.com/open?id=1blg5J2nzPj-ib-MNL4XXXfIDPPP9zBir</v>
      </c>
    </row>
    <row r="130" customFormat="false" ht="14.25" hidden="false" customHeight="false" outlineLevel="0" collapsed="false">
      <c r="A130" s="18" t="str">
        <f aca="false">IFERROR(MID(D130,1,FIND("|",D130)-1)&amp;"-"&amp;C130,"")</f>
        <v>SICI201803-13-6-3</v>
      </c>
      <c r="B130" s="19" t="n">
        <f aca="false">IFERROR(__xludf.dummyfunction("""COMPUTED_VALUE"""),43917)</f>
        <v>43917</v>
      </c>
      <c r="C130" s="0" t="n">
        <f aca="false">IFERROR(__xludf.dummyfunction("""COMPUTED_VALUE"""),3)</f>
        <v>3</v>
      </c>
      <c r="D130" s="0" t="str">
        <f aca="false">IFERROR(__xludf.dummyfunction("""COMPUTED_VALUE"""),"SICI201803-13-6| Se solicitará al área encargada el recurso humano faltante en cada una de las Unidades de la subred. - 30/12/1899")</f>
        <v>SICI201803-13-6| Se solicitará al área encargada el recurso humano faltante en cada una de las Unidades de la subred. - 30/12/1899</v>
      </c>
      <c r="E130" s="0" t="str">
        <f aca="false">IFERROR(__xludf.dummyfunction("""COMPUTED_VALUE"""),"Se continua con la solicitud de personal, acción completada del seguimiento anterior")</f>
        <v>Se continua con la solicitud de personal, acción completada del seguimiento anterior</v>
      </c>
      <c r="F130" s="0" t="str">
        <f aca="false">IFERROR(__xludf.dummyfunction("""COMPUTED_VALUE"""),"Completo")</f>
        <v>Completo</v>
      </c>
      <c r="G130" s="0" t="str">
        <f aca="false">IFERROR(__xludf.dummyfunction("""COMPUTED_VALUE"""),"https://drive.google.com/open?id=1U8xq5BXlitNcAWKkv-H83qifsESH6PfE, https://drive.google.com/open?id=1f8ASwzTvJ_M3sVUT8fwre82EGpevFirp, https://drive.google.com/open?id=1Yml6A_TCUP8CZR-mWI8oWq830c5JnGwf, https://drive.google.com/open?id=1SYh3lm5ISdyGKLRl2"&amp;"MwHxzWwanAuElOb")</f>
        <v>https://drive.google.com/open?id=1U8xq5BXlitNcAWKkv-H83qifsESH6PfE, https://drive.google.com/open?id=1f8ASwzTvJ_M3sVUT8fwre82EGpevFirp, https://drive.google.com/open?id=1Yml6A_TCUP8CZR-mWI8oWq830c5JnGwf, https://drive.google.com/open?id=1SYh3lm5ISdyGKLRl2MwHxzWwanAuElOb</v>
      </c>
    </row>
    <row r="131" customFormat="false" ht="14.25" hidden="false" customHeight="false" outlineLevel="0" collapsed="false">
      <c r="A131" s="18" t="str">
        <f aca="false">IFERROR(MID(D131,1,FIND("|",D131)-1)&amp;"-"&amp;C131,"")</f>
        <v>SICI201803-13-7-3</v>
      </c>
      <c r="B131" s="19" t="n">
        <f aca="false">IFERROR(__xludf.dummyfunction("""COMPUTED_VALUE"""),43917)</f>
        <v>43917</v>
      </c>
      <c r="C131" s="0" t="n">
        <f aca="false">IFERROR(__xludf.dummyfunction("""COMPUTED_VALUE"""),3)</f>
        <v>3</v>
      </c>
      <c r="D131" s="0" t="str">
        <f aca="false">IFERROR(__xludf.dummyfunction("""COMPUTED_VALUE"""),"SICI201803-13-7| Se Solicitará al área de suministros (almacenes) la indicacion para los casos en los cuales se pueda implementar el Concepto 105. - 30/12/1899")</f>
        <v>SICI201803-13-7| Se Solicitará al área de suministros (almacenes) la indicacion para los casos en los cuales se pueda implementar el Concepto 105. - 30/12/1899</v>
      </c>
      <c r="E131" s="0" t="str">
        <f aca="false">IFERROR(__xludf.dummyfunction("""COMPUTED_VALUE"""),"Se continua con el trabajo  con el area de suministros accion completada del seguimiento anterior")</f>
        <v>Se continua con el trabajo  con el area de suministros accion completada del seguimiento anterior</v>
      </c>
      <c r="F131" s="0" t="str">
        <f aca="false">IFERROR(__xludf.dummyfunction("""COMPUTED_VALUE"""),"Completo")</f>
        <v>Completo</v>
      </c>
      <c r="G131" s="0" t="str">
        <f aca="false">IFERROR(__xludf.dummyfunction("""COMPUTED_VALUE"""),"https://drive.google.com/open?id=1qgeD4F26DfwxdvBkxF999x_JK4TBm8ie, https://drive.google.com/open?id=16hgcOiyLIfxrM_LYqftB00gEjbspkmwp, https://drive.google.com/open?id=1udNF7Hk4q-xsrre-YOl-4ya21V8iN9_K")</f>
        <v>https://drive.google.com/open?id=1qgeD4F26DfwxdvBkxF999x_JK4TBm8ie, https://drive.google.com/open?id=16hgcOiyLIfxrM_LYqftB00gEjbspkmwp, https://drive.google.com/open?id=1udNF7Hk4q-xsrre-YOl-4ya21V8iN9_K</v>
      </c>
    </row>
    <row r="132" customFormat="false" ht="14.25" hidden="false" customHeight="false" outlineLevel="0" collapsed="false">
      <c r="A132" s="18" t="str">
        <f aca="false">IFERROR(MID(D132,1,FIND("|",D132)-1)&amp;"-"&amp;C132,"")</f>
        <v>SICI201803-14-1-3</v>
      </c>
      <c r="B132" s="19" t="n">
        <f aca="false">IFERROR(__xludf.dummyfunction("""COMPUTED_VALUE"""),43917)</f>
        <v>43917</v>
      </c>
      <c r="C132" s="0" t="n">
        <f aca="false">IFERROR(__xludf.dummyfunction("""COMPUTED_VALUE"""),3)</f>
        <v>3</v>
      </c>
      <c r="D132" s="0" t="str">
        <f aca="false">IFERROR(__xludf.dummyfunction("""COMPUTED_VALUE"""),"SICI201803-14-1| Se generará una lista de chequeo para verificar periodicamente (cada 4 meses): a) el cumplimiento de la calibracion y/o mantenimiento de los instrumentos de medicion encontrados en el servicio farmaceutico, b) señalizacion adecuada de la "&amp;"areas de la farmacia y rutas de evacuación. - 31/05/2019")</f>
        <v>SICI201803-14-1| Se generará una lista de chequeo para verificar periodicamente (cada 4 meses): a) el cumplimiento de la calibracion y/o mantenimiento de los instrumentos de medicion encontrados en el servicio farmaceutico, b) señalizacion adecuada de la areas de la farmacia y rutas de evacuación. - 31/05/2019</v>
      </c>
      <c r="E132" s="0" t="str">
        <f aca="false">IFERROR(__xludf.dummyfunction("""COMPUTED_VALUE"""),"Se puede observar que se esta realizando la señalización de las áreas de farmacia y rutas de evacuación acción completada")</f>
        <v>Se puede observar que se esta realizando la señalización de las áreas de farmacia y rutas de evacuación acción completada</v>
      </c>
      <c r="F132" s="0" t="str">
        <f aca="false">IFERROR(__xludf.dummyfunction("""COMPUTED_VALUE"""),"Completo")</f>
        <v>Completo</v>
      </c>
      <c r="G132" s="0" t="str">
        <f aca="false">IFERROR(__xludf.dummyfunction("""COMPUTED_VALUE"""),"https://drive.google.com/open?id=1P52pPO6VYWNH6FKrTrbC6zShorArIVM5, https://drive.google.com/open?id=1TZ_zyyqQas2oLDUmdRAcOSctU8Q4jIBd, https://drive.google.com/open?id=1hnIhjITv38a-RAFztSa1Ej5ZGN1J_MhA")</f>
        <v>https://drive.google.com/open?id=1P52pPO6VYWNH6FKrTrbC6zShorArIVM5, https://drive.google.com/open?id=1TZ_zyyqQas2oLDUmdRAcOSctU8Q4jIBd, https://drive.google.com/open?id=1hnIhjITv38a-RAFztSa1Ej5ZGN1J_MhA</v>
      </c>
    </row>
    <row r="133" customFormat="false" ht="14.25" hidden="false" customHeight="false" outlineLevel="0" collapsed="false">
      <c r="A133" s="18" t="str">
        <f aca="false">IFERROR(MID(D133,1,FIND("|",D133)-1)&amp;"-"&amp;C133,"")</f>
        <v>SICI201803-15-1-3</v>
      </c>
      <c r="B133" s="19" t="n">
        <f aca="false">IFERROR(__xludf.dummyfunction("""COMPUTED_VALUE"""),43917)</f>
        <v>43917</v>
      </c>
      <c r="C133" s="0" t="n">
        <f aca="false">IFERROR(__xludf.dummyfunction("""COMPUTED_VALUE"""),3)</f>
        <v>3</v>
      </c>
      <c r="D133" s="0" t="str">
        <f aca="false">IFERROR(__xludf.dummyfunction("""COMPUTED_VALUE"""),"SICI201803-15-1| Se actualizarán instrutivos de control de fechas de vencimientos y manejo de carro de paro y equipo de reanimacion; estandarizando el proceso de semaforización de acuerdo al manual de buenas practicas de almacenamiento de la subred. - 31/"&amp;"08/2019")</f>
        <v>SICI201803-15-1| Se actualizarán instrutivos de control de fechas de vencimientos y manejo de carro de paro y equipo de reanimacion; estandarizando el proceso de semaforización de acuerdo al manual de buenas practicas de almacenamiento de la subred. - 31/08/2019</v>
      </c>
      <c r="E133" s="0" t="str">
        <f aca="false">IFERROR(__xludf.dummyfunction("""COMPUTED_VALUE"""),"Se genero resolución por parte de la gerencia de la subred para el manejo de fechas de vencimientos y destrucción de elementos vencidos")</f>
        <v>Se genero resolución por parte de la gerencia de la subred para el manejo de fechas de vencimientos y destrucción de elementos vencidos</v>
      </c>
      <c r="F133" s="0" t="str">
        <f aca="false">IFERROR(__xludf.dummyfunction("""COMPUTED_VALUE"""),"Completo")</f>
        <v>Completo</v>
      </c>
      <c r="G133" s="0" t="str">
        <f aca="false">IFERROR(__xludf.dummyfunction("""COMPUTED_VALUE"""),"https://drive.google.com/open?id=1B-GPAIfaHj3qxT2LlRVsgJ3oNlpnRt9Q, https://drive.google.com/open?id=1bPmHAUmE812_GJxtcVP7AQweEUslR-mp")</f>
        <v>https://drive.google.com/open?id=1B-GPAIfaHj3qxT2LlRVsgJ3oNlpnRt9Q, https://drive.google.com/open?id=1bPmHAUmE812_GJxtcVP7AQweEUslR-mp</v>
      </c>
    </row>
    <row r="134" customFormat="false" ht="14.25" hidden="false" customHeight="false" outlineLevel="0" collapsed="false">
      <c r="A134" s="18" t="str">
        <f aca="false">IFERROR(MID(D134,1,FIND("|",D134)-1)&amp;"-"&amp;C134,"")</f>
        <v>SICI201803-15-2-3</v>
      </c>
      <c r="B134" s="19" t="n">
        <f aca="false">IFERROR(__xludf.dummyfunction("""COMPUTED_VALUE"""),43917)</f>
        <v>43917</v>
      </c>
      <c r="C134" s="0" t="n">
        <f aca="false">IFERROR(__xludf.dummyfunction("""COMPUTED_VALUE"""),3)</f>
        <v>3</v>
      </c>
      <c r="D134" s="0" t="str">
        <f aca="false">IFERROR(__xludf.dummyfunction("""COMPUTED_VALUE"""),"SICI201803-15-2| Se señalizará un área específica para ubicar los medicamentos y/o dispositivos medicos vencidos en dónde los mismos se almacenarán en una bolsa roja rotulada como ""RESIDUOS QUIMICOS"" mientras se realiza el respectivo comité de inventari"&amp;"os para la disposición final de los mismos por parte de gestión ambiental. - 30/12/1899")</f>
        <v>SICI201803-15-2| Se señalizará un área específica para ubicar los medicamentos y/o dispositivos medicos vencidos en dónde los mismos se almacenarán en una bolsa roja rotulada como "RESIDUOS QUIMICOS" mientras se realiza el respectivo comité de inventarios para la disposición final de los mismos por parte de gestión ambiental. - 30/12/1899</v>
      </c>
      <c r="E134" s="0" t="str">
        <f aca="false">IFERROR(__xludf.dummyfunction("""COMPUTED_VALUE"""),"Se Continua con las actividades de rotulación de productos vencidos y demarcación de los residuos, la acción completada")</f>
        <v>Se Continua con las actividades de rotulación de productos vencidos y demarcación de los residuos, la acción completada</v>
      </c>
      <c r="F134" s="0" t="str">
        <f aca="false">IFERROR(__xludf.dummyfunction("""COMPUTED_VALUE"""),"Completo")</f>
        <v>Completo</v>
      </c>
      <c r="G134" s="0" t="str">
        <f aca="false">IFERROR(__xludf.dummyfunction("""COMPUTED_VALUE"""),"https://drive.google.com/open?id=1bVw70RMn2A9A7RJzOw58vRd3MXNKPXLQ, https://drive.google.com/open?id=1s_m6Fd-lS1iVEo-BB3ET7-fv8QAk4t9n, https://drive.google.com/open?id=1cpCHD83dlezCbDRbTgwr8b08FSlWvO5R, https://drive.google.com/open?id=1pW6mSNWXN_I1U1e8d"&amp;"NDTajHaAHUk5Gak")</f>
        <v>https://drive.google.com/open?id=1bVw70RMn2A9A7RJzOw58vRd3MXNKPXLQ, https://drive.google.com/open?id=1s_m6Fd-lS1iVEo-BB3ET7-fv8QAk4t9n, https://drive.google.com/open?id=1cpCHD83dlezCbDRbTgwr8b08FSlWvO5R, https://drive.google.com/open?id=1pW6mSNWXN_I1U1e8dNDTajHaAHUk5Gak</v>
      </c>
    </row>
    <row r="135" customFormat="false" ht="14.25" hidden="false" customHeight="false" outlineLevel="0" collapsed="false">
      <c r="A135" s="18" t="str">
        <f aca="false">IFERROR(MID(D135,1,FIND("|",D135)-1)&amp;"-"&amp;C135,"")</f>
        <v>SICI201803-15-3-3</v>
      </c>
      <c r="B135" s="19" t="n">
        <f aca="false">IFERROR(__xludf.dummyfunction("""COMPUTED_VALUE"""),43917)</f>
        <v>43917</v>
      </c>
      <c r="C135" s="0" t="n">
        <f aca="false">IFERROR(__xludf.dummyfunction("""COMPUTED_VALUE"""),3)</f>
        <v>3</v>
      </c>
      <c r="D135" s="0" t="str">
        <f aca="false">IFERROR(__xludf.dummyfunction("""COMPUTED_VALUE"""),"SICI201803-15-3| Se implementará instrumento mediante el cual el personal asistencial relacionará los medicamentos y/o insumos que requieran devolver al servicio farmacéutico por novedades como: próximos a vencer de carros de paro, sobrantes, entre otros."&amp;" - 30/12/1899")</f>
        <v>SICI201803-15-3| Se implementará instrumento mediante el cual el personal asistencial relacionará los medicamentos y/o insumos que requieran devolver al servicio farmacéutico por novedades como: próximos a vencer de carros de paro, sobrantes, entre otros. - 30/12/1899</v>
      </c>
      <c r="E135" s="0" t="str">
        <f aca="false">IFERROR(__xludf.dummyfunction("""COMPUTED_VALUE"""),"Se tiene el instrumento para carro de paro y se tiene los termohigrometros calibrados")</f>
        <v>Se tiene el instrumento para carro de paro y se tiene los termohigrometros calibrados</v>
      </c>
      <c r="F135" s="0" t="str">
        <f aca="false">IFERROR(__xludf.dummyfunction("""COMPUTED_VALUE"""),"Completo")</f>
        <v>Completo</v>
      </c>
      <c r="G135" s="0" t="str">
        <f aca="false">IFERROR(__xludf.dummyfunction("""COMPUTED_VALUE"""),"https://drive.google.com/open?id=1GaFdTYWSLVKMuTCRa7SVbozgxNi-behP, https://drive.google.com/open?id=1chhTXWYr2_TZmhcoYzurM3sLJVrUYaNJ, https://drive.google.com/open?id=1fDVnVXIYBmdcJeJeNdx9_tvE5osv8pRu, https://drive.google.com/open?id=1xHEoVe-A2UrYukY9S"&amp;"I-52GKYIXFV14bV, https://drive.google.com/open?id=1SLKjwtJZT2OOPbr7XAl21qfBL2g2EW2v")</f>
        <v>https://drive.google.com/open?id=1GaFdTYWSLVKMuTCRa7SVbozgxNi-behP, https://drive.google.com/open?id=1chhTXWYr2_TZmhcoYzurM3sLJVrUYaNJ, https://drive.google.com/open?id=1fDVnVXIYBmdcJeJeNdx9_tvE5osv8pRu, https://drive.google.com/open?id=1xHEoVe-A2UrYukY9SI-52GKYIXFV14bV, https://drive.google.com/open?id=1SLKjwtJZT2OOPbr7XAl21qfBL2g2EW2v</v>
      </c>
    </row>
    <row r="136" customFormat="false" ht="14.25" hidden="false" customHeight="false" outlineLevel="0" collapsed="false">
      <c r="A136" s="18" t="str">
        <f aca="false">IFERROR(MID(D136,1,FIND("|",D136)-1)&amp;"-"&amp;C136,"")</f>
        <v>SICI201803-15-4-3</v>
      </c>
      <c r="B136" s="19" t="n">
        <f aca="false">IFERROR(__xludf.dummyfunction("""COMPUTED_VALUE"""),43917)</f>
        <v>43917</v>
      </c>
      <c r="C136" s="0" t="n">
        <f aca="false">IFERROR(__xludf.dummyfunction("""COMPUTED_VALUE"""),3)</f>
        <v>3</v>
      </c>
      <c r="D136" s="0" t="str">
        <f aca="false">IFERROR(__xludf.dummyfunction("""COMPUTED_VALUE"""),"SICI201803-15-4| Se solicitará al área de suministros (almacenes) los sticker de color rojo necesarios para la semaforización (FV inferior a 6 meses). - 30/12/1899")</f>
        <v>SICI201803-15-4| Se solicitará al área de suministros (almacenes) los sticker de color rojo necesarios para la semaforización (FV inferior a 6 meses). - 30/12/1899</v>
      </c>
      <c r="E136" s="0" t="str">
        <f aca="false">IFERROR(__xludf.dummyfunction("""COMPUTED_VALUE"""),"Se mantiene la solicitud de sticker y correos de productos proximos a vencer")</f>
        <v>Se mantiene la solicitud de sticker y correos de productos proximos a vencer</v>
      </c>
      <c r="F136" s="0" t="str">
        <f aca="false">IFERROR(__xludf.dummyfunction("""COMPUTED_VALUE"""),"Completo")</f>
        <v>Completo</v>
      </c>
      <c r="G136" s="0" t="str">
        <f aca="false">IFERROR(__xludf.dummyfunction("""COMPUTED_VALUE"""),"https://drive.google.com/open?id=1Ze0MqhVMMrKGmmTmYXmVqf5N63tbFOYO, https://drive.google.com/open?id=1a0lGkRpMNkfUA21sog3pb2gVQZfj-saR, https://drive.google.com/open?id=1_rg4_M4NiXs9YXMVwuykrtl1Z5o0r6xU, https://drive.google.com/open?id=16H8F0m1P4ElvvtWDu"&amp;"uELnIe9cW8Udtlb")</f>
        <v>https://drive.google.com/open?id=1Ze0MqhVMMrKGmmTmYXmVqf5N63tbFOYO, https://drive.google.com/open?id=1a0lGkRpMNkfUA21sog3pb2gVQZfj-saR, https://drive.google.com/open?id=1_rg4_M4NiXs9YXMVwuykrtl1Z5o0r6xU, https://drive.google.com/open?id=16H8F0m1P4ElvvtWDuuELnIe9cW8Udtlb</v>
      </c>
    </row>
    <row r="137" customFormat="false" ht="14.25" hidden="false" customHeight="false" outlineLevel="0" collapsed="false">
      <c r="A137" s="18" t="str">
        <f aca="false">IFERROR(MID(D137,1,FIND("|",D137)-1)&amp;"-"&amp;C137,"")</f>
        <v>SICI201803-15-5-3</v>
      </c>
      <c r="B137" s="19" t="n">
        <f aca="false">IFERROR(__xludf.dummyfunction("""COMPUTED_VALUE"""),43917)</f>
        <v>43917</v>
      </c>
      <c r="C137" s="0" t="n">
        <f aca="false">IFERROR(__xludf.dummyfunction("""COMPUTED_VALUE"""),3)</f>
        <v>3</v>
      </c>
      <c r="D137" s="0" t="str">
        <f aca="false">IFERROR(__xludf.dummyfunction("""COMPUTED_VALUE"""),"SICI201803-15-5| Se generará una lista de chequeo para verificar periodicamente (cada 4 meses) el cumplimiento de la calibración de los termohigrómetros y registros actualizados de temperatura y humedad. - 30/12/1899")</f>
        <v>SICI201803-15-5| Se generará una lista de chequeo para verificar periodicamente (cada 4 meses) el cumplimiento de la calibración de los termohigrómetros y registros actualizados de temperatura y humedad. - 30/12/1899</v>
      </c>
      <c r="E137" s="0" t="str">
        <f aca="false">IFERROR(__xludf.dummyfunction("""COMPUTED_VALUE"""),"se realizó la calibración de los Termohigrometros y se realiza seguimiento de temperatura y humedad")</f>
        <v>se realizó la calibración de los Termohigrometros y se realiza seguimiento de temperatura y humedad</v>
      </c>
      <c r="F137" s="0" t="str">
        <f aca="false">IFERROR(__xludf.dummyfunction("""COMPUTED_VALUE"""),"Completo")</f>
        <v>Completo</v>
      </c>
      <c r="G137" s="0" t="str">
        <f aca="false">IFERROR(__xludf.dummyfunction("""COMPUTED_VALUE"""),"https://drive.google.com/open?id=1x_BXlAYYg1BAlA24bDMpTUiSNPznDRc0, https://drive.google.com/open?id=1sup82-oh7R1-4lPJws8NOkVBUIEXaVdW, https://drive.google.com/open?id=1Rg6_s3HU8gSSt35WeNCb5YQKyka8j1wp, https://drive.google.com/open?id=1cxY2FNWg9vMzK2u_X"&amp;"4wDzp9ma3N_ntrE")</f>
        <v>https://drive.google.com/open?id=1x_BXlAYYg1BAlA24bDMpTUiSNPznDRc0, https://drive.google.com/open?id=1sup82-oh7R1-4lPJws8NOkVBUIEXaVdW, https://drive.google.com/open?id=1Rg6_s3HU8gSSt35WeNCb5YQKyka8j1wp, https://drive.google.com/open?id=1cxY2FNWg9vMzK2u_X4wDzp9ma3N_ntrE</v>
      </c>
    </row>
    <row r="138" customFormat="false" ht="14.25" hidden="false" customHeight="false" outlineLevel="0" collapsed="false">
      <c r="A138" s="18" t="str">
        <f aca="false">IFERROR(MID(D138,1,FIND("|",D138)-1)&amp;"-"&amp;C138,"")</f>
        <v>SICI201803-16-1-3</v>
      </c>
      <c r="B138" s="19" t="n">
        <f aca="false">IFERROR(__xludf.dummyfunction("""COMPUTED_VALUE"""),43917)</f>
        <v>43917</v>
      </c>
      <c r="C138" s="0" t="n">
        <f aca="false">IFERROR(__xludf.dummyfunction("""COMPUTED_VALUE"""),3)</f>
        <v>3</v>
      </c>
      <c r="D138" s="0" t="str">
        <f aca="false">IFERROR(__xludf.dummyfunction("""COMPUTED_VALUE"""),"SICI201803-16-1| Se generará una lista de chequeo para verificar periodicamente (cada 4 meses) el cumplimiento de la calibración de los termohigrómetros. - 30/06/2019")</f>
        <v>SICI201803-16-1| Se generará una lista de chequeo para verificar periodicamente (cada 4 meses) el cumplimiento de la calibración de los termohigrómetros. - 30/06/2019</v>
      </c>
      <c r="E138" s="0" t="str">
        <f aca="false">IFERROR(__xludf.dummyfunction("""COMPUTED_VALUE"""),"Se realizó la calibración de los Termohigrometros y se realiza seguimiento de temperatura y humedad")</f>
        <v>Se realizó la calibración de los Termohigrometros y se realiza seguimiento de temperatura y humedad</v>
      </c>
      <c r="F138" s="0" t="str">
        <f aca="false">IFERROR(__xludf.dummyfunction("""COMPUTED_VALUE"""),"Completo")</f>
        <v>Completo</v>
      </c>
      <c r="G138" s="0" t="str">
        <f aca="false">IFERROR(__xludf.dummyfunction("""COMPUTED_VALUE"""),"https://drive.google.com/open?id=1eBiv1p0OWtrMTpzVq-c0Y-naTMIPqQ2R, https://drive.google.com/open?id=1JqI72aVVyv4jvq1QuQ53W2aR8TScyXq5, https://drive.google.com/open?id=1aLIRufLOCVZoQHwUG179TGByR5AA_V7q, https://drive.google.com/open?id=1ncaZ9czrRZovNwZPz"&amp;"3s3XFm5U-wavx1I")</f>
        <v>https://drive.google.com/open?id=1eBiv1p0OWtrMTpzVq-c0Y-naTMIPqQ2R, https://drive.google.com/open?id=1JqI72aVVyv4jvq1QuQ53W2aR8TScyXq5, https://drive.google.com/open?id=1aLIRufLOCVZoQHwUG179TGByR5AA_V7q, https://drive.google.com/open?id=1ncaZ9czrRZovNwZPz3s3XFm5U-wavx1I</v>
      </c>
    </row>
    <row r="139" customFormat="false" ht="14.25" hidden="false" customHeight="false" outlineLevel="0" collapsed="false">
      <c r="A139" s="18" t="str">
        <f aca="false">IFERROR(MID(D139,1,FIND("|",D139)-1)&amp;"-"&amp;C139,"")</f>
        <v>SICI201803-16-2-3</v>
      </c>
      <c r="B139" s="19" t="n">
        <f aca="false">IFERROR(__xludf.dummyfunction("""COMPUTED_VALUE"""),43917)</f>
        <v>43917</v>
      </c>
      <c r="C139" s="0" t="n">
        <f aca="false">IFERROR(__xludf.dummyfunction("""COMPUTED_VALUE"""),3)</f>
        <v>3</v>
      </c>
      <c r="D139" s="0" t="str">
        <f aca="false">IFERROR(__xludf.dummyfunction("""COMPUTED_VALUE"""),"SICI201803-16-2| Se socializará al personal del Servicio Farmaceutico el cronograma actualizado de aseo y desinfeccion en las áreas de la farmacia se realizará seguimiento del cumplimiento del mismo (periodicidad :tramos:semanal,neveras: mensual). - 30/12"&amp;"/1899")</f>
        <v>SICI201803-16-2| Se socializará al personal del Servicio Farmaceutico el cronograma actualizado de aseo y desinfeccion en las áreas de la farmacia se realizará seguimiento del cumplimiento del mismo (periodicidad :tramos:semanal,neveras: mensual). - 30/12/1899</v>
      </c>
      <c r="E139" s="0" t="str">
        <f aca="false">IFERROR(__xludf.dummyfunction("""COMPUTED_VALUE"""),"Se mantiene la utilización del cronograma de aseo y desinfeccion de areas de la farmacia, la acción ya esta completada")</f>
        <v>Se mantiene la utilización del cronograma de aseo y desinfeccion de areas de la farmacia, la acción ya esta completada</v>
      </c>
      <c r="F139" s="0" t="str">
        <f aca="false">IFERROR(__xludf.dummyfunction("""COMPUTED_VALUE"""),"Completo")</f>
        <v>Completo</v>
      </c>
      <c r="G139" s="0" t="str">
        <f aca="false">IFERROR(__xludf.dummyfunction("""COMPUTED_VALUE"""),"https://drive.google.com/open?id=1sTtjHwaia6NJGITdyid7RIfzfdfp2ziR, https://drive.google.com/open?id=1L0SdkCo9RbkK43eKhpQlBYG6Z-a3bLYX, https://drive.google.com/open?id=14R_1rTZkdla_02vWzPv4JkF7ZsMH7R67, https://drive.google.com/open?id=1RyXS0U1tsw7Ai2GyF"&amp;"c1XO4LMVyqACUSb, https://drive.google.com/open?id=1_oR-9OPvRenImrZV-fU_xFFWOg3y4q-7")</f>
        <v>https://drive.google.com/open?id=1sTtjHwaia6NJGITdyid7RIfzfdfp2ziR, https://drive.google.com/open?id=1L0SdkCo9RbkK43eKhpQlBYG6Z-a3bLYX, https://drive.google.com/open?id=14R_1rTZkdla_02vWzPv4JkF7ZsMH7R67, https://drive.google.com/open?id=1RyXS0U1tsw7Ai2GyFc1XO4LMVyqACUSb, https://drive.google.com/open?id=1_oR-9OPvRenImrZV-fU_xFFWOg3y4q-7</v>
      </c>
    </row>
    <row r="140" customFormat="false" ht="14.25" hidden="false" customHeight="false" outlineLevel="0" collapsed="false">
      <c r="A140" s="18" t="str">
        <f aca="false">IFERROR(MID(D140,1,FIND("|",D140)-1)&amp;"-"&amp;C140,"")</f>
        <v>SICI201803-16-3-3</v>
      </c>
      <c r="B140" s="19" t="n">
        <f aca="false">IFERROR(__xludf.dummyfunction("""COMPUTED_VALUE"""),43917)</f>
        <v>43917</v>
      </c>
      <c r="C140" s="0" t="n">
        <f aca="false">IFERROR(__xludf.dummyfunction("""COMPUTED_VALUE"""),3)</f>
        <v>3</v>
      </c>
      <c r="D140" s="0" t="str">
        <f aca="false">IFERROR(__xludf.dummyfunction("""COMPUTED_VALUE"""),"SICI201803-16-3| Se socializará el plan de gestión integral de residuos hospitalarios (AP-AT-O-01-03) y se realizará segumiento de su cumplimiento. - 30/12/1899")</f>
        <v>SICI201803-16-3| Se socializará el plan de gestión integral de residuos hospitalarios (AP-AT-O-01-03) y se realizará segumiento de su cumplimiento. - 30/12/1899</v>
      </c>
      <c r="E140" s="0" t="str">
        <f aca="false">IFERROR(__xludf.dummyfunction("""COMPUTED_VALUE"""),"Se tiene soporte de Socializacion al personal del manejo de residuos y de materiales peligrosos y buenas practicas  en la farmacia")</f>
        <v>Se tiene soporte de Socializacion al personal del manejo de residuos y de materiales peligrosos y buenas practicas  en la farmacia</v>
      </c>
      <c r="F140" s="0" t="str">
        <f aca="false">IFERROR(__xludf.dummyfunction("""COMPUTED_VALUE"""),"Completo")</f>
        <v>Completo</v>
      </c>
      <c r="G140" s="0" t="str">
        <f aca="false">IFERROR(__xludf.dummyfunction("""COMPUTED_VALUE"""),"https://drive.google.com/open?id=1qNEcXFQIg8L9igJlNi63g-naPCWhWOUI, https://drive.google.com/open?id=1RB0USqhpgSbItuEEHxfh_9-NArmMpfcF, https://drive.google.com/open?id=1kRTk7bHO1MR-SduP819RgVPxvrvZd-Re, https://drive.google.com/open?id=1cqjk9dhGGrlnHbUDb"&amp;"eLqH10rWl28_eiH, https://drive.google.com/open?id=1FCIIbyywv7IXmEYpIqeGYGqpZkG9m2Ld")</f>
        <v>https://drive.google.com/open?id=1qNEcXFQIg8L9igJlNi63g-naPCWhWOUI, https://drive.google.com/open?id=1RB0USqhpgSbItuEEHxfh_9-NArmMpfcF, https://drive.google.com/open?id=1kRTk7bHO1MR-SduP819RgVPxvrvZd-Re, https://drive.google.com/open?id=1cqjk9dhGGrlnHbUDbeLqH10rWl28_eiH, https://drive.google.com/open?id=1FCIIbyywv7IXmEYpIqeGYGqpZkG9m2Ld</v>
      </c>
    </row>
    <row r="141" customFormat="false" ht="14.25" hidden="false" customHeight="false" outlineLevel="0" collapsed="false">
      <c r="A141" s="18" t="str">
        <f aca="false">IFERROR(MID(D141,1,FIND("|",D141)-1)&amp;"-"&amp;C141,"")</f>
        <v>SICI201803-17-1-3</v>
      </c>
      <c r="B141" s="19" t="n">
        <f aca="false">IFERROR(__xludf.dummyfunction("""COMPUTED_VALUE"""),43917)</f>
        <v>43917</v>
      </c>
      <c r="C141" s="0" t="n">
        <f aca="false">IFERROR(__xludf.dummyfunction("""COMPUTED_VALUE"""),3)</f>
        <v>3</v>
      </c>
      <c r="D141" s="0" t="str">
        <f aca="false">IFERROR(__xludf.dummyfunction("""COMPUTED_VALUE"""),"SICI201803-17-1| Se notificarán al área de subgerencia administrativa los requerimientos relacionados con infraestructura, mobiliario, estibas y otros elementos importantes para el funcionamiento del servicio farmacéutico y el respectivo cumplimiento de l"&amp;"a normatividad vigente (Resolución 1402 de 2007, Resolución 2003 de 2014). - 31/05/2019")</f>
        <v>SICI201803-17-1| Se notificarán al área de subgerencia administrativa los requerimientos relacionados con infraestructura, mobiliario, estibas y otros elementos importantes para el funcionamiento del servicio farmacéutico y el respectivo cumplimiento de la normatividad vigente (Resolución 1402 de 2007, Resolución 2003 de 2014). - 31/05/2019</v>
      </c>
      <c r="E141" s="0" t="str">
        <f aca="false">IFERROR(__xludf.dummyfunction("""COMPUTED_VALUE"""),"Se tiene solicitud de elementos y se tiene evidencia de elementos de almacenamiento, estibas y otros mobiliarios dentro de las farmacias")</f>
        <v>Se tiene solicitud de elementos y se tiene evidencia de elementos de almacenamiento, estibas y otros mobiliarios dentro de las farmacias</v>
      </c>
      <c r="F141" s="0" t="str">
        <f aca="false">IFERROR(__xludf.dummyfunction("""COMPUTED_VALUE"""),"Completo")</f>
        <v>Completo</v>
      </c>
      <c r="G141" s="0" t="str">
        <f aca="false">IFERROR(__xludf.dummyfunction("""COMPUTED_VALUE"""),"https://drive.google.com/open?id=12BvEhEFjZoncRjB1cgsNlpIke4G0N-5t, https://drive.google.com/open?id=1WrBWsTnoiHfgT6cay8byFXB5dqsojZaV, https://drive.google.com/open?id=1rI9Q311jMHZU_8gqZoTX4v7i1zLapJ79, https://drive.google.com/open?id=1wyTnfuVU9B4vhGW8y"&amp;"5qi1P0mWt03s19U, https://drive.google.com/open?id=13uMGM0w4Ofkp_J7m5l_Qeo35MihEjN1c")</f>
        <v>https://drive.google.com/open?id=12BvEhEFjZoncRjB1cgsNlpIke4G0N-5t, https://drive.google.com/open?id=1WrBWsTnoiHfgT6cay8byFXB5dqsojZaV, https://drive.google.com/open?id=1rI9Q311jMHZU_8gqZoTX4v7i1zLapJ79, https://drive.google.com/open?id=1wyTnfuVU9B4vhGW8y5qi1P0mWt03s19U, https://drive.google.com/open?id=13uMGM0w4Ofkp_J7m5l_Qeo35MihEjN1c</v>
      </c>
    </row>
    <row r="142" customFormat="false" ht="14.25" hidden="false" customHeight="false" outlineLevel="0" collapsed="false">
      <c r="A142" s="18" t="str">
        <f aca="false">IFERROR(MID(D142,1,FIND("|",D142)-1)&amp;"-"&amp;C142,"")</f>
        <v>SICI201803-17-2-3</v>
      </c>
      <c r="B142" s="19" t="n">
        <f aca="false">IFERROR(__xludf.dummyfunction("""COMPUTED_VALUE"""),43917)</f>
        <v>43917</v>
      </c>
      <c r="C142" s="0" t="n">
        <f aca="false">IFERROR(__xludf.dummyfunction("""COMPUTED_VALUE"""),3)</f>
        <v>3</v>
      </c>
      <c r="D142" s="0" t="str">
        <f aca="false">IFERROR(__xludf.dummyfunction("""COMPUTED_VALUE"""),"SICI201803-17-2| Se generará una lista de chequeo para verificar periodicamente (cada 4 meses): a) el cumplimiento de la calibracion y/o mantenimiento de los instrumentos de medición encontrados en el servicio farmacéutico, b) Señalización adecuada de la "&amp;"áreas de la farmacia y rutas de evacuación. c) Existencia y estado de extintores - 30/12/1899")</f>
        <v>SICI201803-17-2| Se generará una lista de chequeo para verificar periodicamente (cada 4 meses): a) el cumplimiento de la calibracion y/o mantenimiento de los instrumentos de medición encontrados en el servicio farmacéutico, b) Señalización adecuada de la áreas de la farmacia y rutas de evacuación. c) Existencia y estado de extintores - 30/12/1899</v>
      </c>
      <c r="E142" s="0" t="str">
        <f aca="false">IFERROR(__xludf.dummyfunction("""COMPUTED_VALUE"""),"Se toman mediciones de temperatura y humedad, se tiene termohigrometros calibrados, extintores  calibrados ")</f>
        <v>Se toman mediciones de temperatura y humedad, se tiene termohigrometros calibrados, extintores  calibrados </v>
      </c>
      <c r="F142" s="0" t="str">
        <f aca="false">IFERROR(__xludf.dummyfunction("""COMPUTED_VALUE"""),"Completo")</f>
        <v>Completo</v>
      </c>
      <c r="G142" s="0" t="str">
        <f aca="false">IFERROR(__xludf.dummyfunction("""COMPUTED_VALUE"""),"https://drive.google.com/open?id=1qaeXJZq77u2nBFzpZLdvOgwddFNZogk1, https://drive.google.com/open?id=1YWaf9hXfqNM-ebifbR3zvdAi1coAidcY, https://drive.google.com/open?id=1_lM1BDVQKtnUZ9oDr2xOvZOz2KLkPhKz, https://drive.google.com/open?id=1yIxXOHADLM4esjPsF"&amp;"pQGf8BmpZrnJlo2, https://drive.google.com/open?id=14llzAqqLIvmMHs7wFWQuwYr_C-h8oawX")</f>
        <v>https://drive.google.com/open?id=1qaeXJZq77u2nBFzpZLdvOgwddFNZogk1, https://drive.google.com/open?id=1YWaf9hXfqNM-ebifbR3zvdAi1coAidcY, https://drive.google.com/open?id=1_lM1BDVQKtnUZ9oDr2xOvZOz2KLkPhKz, https://drive.google.com/open?id=1yIxXOHADLM4esjPsFpQGf8BmpZrnJlo2, https://drive.google.com/open?id=14llzAqqLIvmMHs7wFWQuwYr_C-h8oawX</v>
      </c>
    </row>
    <row r="143" customFormat="false" ht="14.25" hidden="false" customHeight="false" outlineLevel="0" collapsed="false">
      <c r="A143" s="18" t="str">
        <f aca="false">IFERROR(MID(D143,1,FIND("|",D143)-1)&amp;"-"&amp;C143,"")</f>
        <v>SICI201803-18-1-3</v>
      </c>
      <c r="B143" s="19" t="n">
        <f aca="false">IFERROR(__xludf.dummyfunction("""COMPUTED_VALUE"""),43917)</f>
        <v>43917</v>
      </c>
      <c r="C143" s="0" t="n">
        <f aca="false">IFERROR(__xludf.dummyfunction("""COMPUTED_VALUE"""),3)</f>
        <v>3</v>
      </c>
      <c r="D143" s="0" t="str">
        <f aca="false">IFERROR(__xludf.dummyfunction("""COMPUTED_VALUE"""),"SICI201803-18-1| Se realizará e implementará instrumento para la recepción de medicamentos y dispositivos medicos por parte del Servicio Farmaceutico. - 30/0/2019")</f>
        <v>SICI201803-18-1| Se realizará e implementará instrumento para la recepción de medicamentos y dispositivos medicos por parte del Servicio Farmaceutico. - 30/0/2019</v>
      </c>
      <c r="E143" s="0" t="str">
        <f aca="false">IFERROR(__xludf.dummyfunction("""COMPUTED_VALUE"""),"Accion Cerrada desde el seguimiento anterior se continua con el formato")</f>
        <v>Accion Cerrada desde el seguimiento anterior se continua con el formato</v>
      </c>
      <c r="F143" s="0" t="str">
        <f aca="false">IFERROR(__xludf.dummyfunction("""COMPUTED_VALUE"""),"Completo")</f>
        <v>Completo</v>
      </c>
      <c r="G143" s="0" t="str">
        <f aca="false">IFERROR(__xludf.dummyfunction("""COMPUTED_VALUE"""),"https://drive.google.com/open?id=1s2qUUPkXlOS-ge6h1LyhjyS1xqZR4TaG, https://drive.google.com/open?id=1GPv77-RaEfIndWvnkFWEmJPNjuyOGlG2, https://drive.google.com/open?id=1ht5vmJsBNZTDC2R9nwshzPm0qZkM9LT2, https://drive.google.com/open?id=1H-ZV3virs8dGoNUIV"&amp;"k4MPXaDUWkeigDn")</f>
        <v>https://drive.google.com/open?id=1s2qUUPkXlOS-ge6h1LyhjyS1xqZR4TaG, https://drive.google.com/open?id=1GPv77-RaEfIndWvnkFWEmJPNjuyOGlG2, https://drive.google.com/open?id=1ht5vmJsBNZTDC2R9nwshzPm0qZkM9LT2, https://drive.google.com/open?id=1H-ZV3virs8dGoNUIVk4MPXaDUWkeigDn</v>
      </c>
    </row>
    <row r="144" customFormat="false" ht="14.25" hidden="false" customHeight="false" outlineLevel="0" collapsed="false">
      <c r="A144" s="18" t="str">
        <f aca="false">IFERROR(MID(D144,1,FIND("|",D144)-1)&amp;"-"&amp;C144,"")</f>
        <v>SICI201803-18-2-3</v>
      </c>
      <c r="B144" s="19" t="n">
        <f aca="false">IFERROR(__xludf.dummyfunction("""COMPUTED_VALUE"""),43917)</f>
        <v>43917</v>
      </c>
      <c r="C144" s="0" t="n">
        <f aca="false">IFERROR(__xludf.dummyfunction("""COMPUTED_VALUE"""),3)</f>
        <v>3</v>
      </c>
      <c r="D144" s="0" t="str">
        <f aca="false">IFERROR(__xludf.dummyfunction("""COMPUTED_VALUE"""),"SICI201803-18-2| Se socializará con el personal del Servicio Farmaceutico el instrumento de recepción de medicamentos y dispositivos medicos - 30/12/1899")</f>
        <v>SICI201803-18-2| Se socializará con el personal del Servicio Farmaceutico el instrumento de recepción de medicamentos y dispositivos medicos - 30/12/1899</v>
      </c>
      <c r="E144" s="0" t="str">
        <f aca="false">IFERROR(__xludf.dummyfunction("""COMPUTED_VALUE"""),"Se tiene el soporte de la socializacion y capacitacion del instrumento de recepción de medicamentos, la acción esta completada ")</f>
        <v>Se tiene el soporte de la socializacion y capacitacion del instrumento de recepción de medicamentos, la acción esta completada </v>
      </c>
      <c r="F144" s="0" t="str">
        <f aca="false">IFERROR(__xludf.dummyfunction("""COMPUTED_VALUE"""),"Completo")</f>
        <v>Completo</v>
      </c>
      <c r="G144" s="0" t="str">
        <f aca="false">IFERROR(__xludf.dummyfunction("""COMPUTED_VALUE"""),"https://drive.google.com/open?id=1lWxrnNrenkI0g4QHLlOEDackk4q-OLHk, https://drive.google.com/open?id=1w8UHz_otLSNzrtiQbTbrK1AvoD_3D2PX")</f>
        <v>https://drive.google.com/open?id=1lWxrnNrenkI0g4QHLlOEDackk4q-OLHk, https://drive.google.com/open?id=1w8UHz_otLSNzrtiQbTbrK1AvoD_3D2PX</v>
      </c>
    </row>
    <row r="145" customFormat="false" ht="14.25" hidden="false" customHeight="false" outlineLevel="0" collapsed="false">
      <c r="A145" s="18" t="str">
        <f aca="false">IFERROR(MID(D145,1,FIND("|",D145)-1)&amp;"-"&amp;C145,"")</f>
        <v>SICI201803-18-3-3</v>
      </c>
      <c r="B145" s="19" t="n">
        <f aca="false">IFERROR(__xludf.dummyfunction("""COMPUTED_VALUE"""),43917)</f>
        <v>43917</v>
      </c>
      <c r="C145" s="0" t="n">
        <f aca="false">IFERROR(__xludf.dummyfunction("""COMPUTED_VALUE"""),3)</f>
        <v>3</v>
      </c>
      <c r="D145" s="0" t="str">
        <f aca="false">IFERROR(__xludf.dummyfunction("""COMPUTED_VALUE"""),"SICI201803-18-3| Se verificarán los medicamentos y dispostivos medicos que se reciben desde el almacén y se documentará en el formato respectivo. - 30/12/1899")</f>
        <v>SICI201803-18-3| Se verificarán los medicamentos y dispostivos medicos que se reciben desde el almacén y se documentará en el formato respectivo. - 30/12/1899</v>
      </c>
      <c r="E145" s="0" t="str">
        <f aca="false">IFERROR(__xludf.dummyfunction("""COMPUTED_VALUE"""),"El formato de recepción técnica se utiliza la acción esta completa desde el seguimiento anterior.
")</f>
        <v>El formato de recepción técnica se utiliza la acción esta completa desde el seguimiento anterior.
</v>
      </c>
      <c r="F145" s="0" t="str">
        <f aca="false">IFERROR(__xludf.dummyfunction("""COMPUTED_VALUE"""),"Completo")</f>
        <v>Completo</v>
      </c>
      <c r="G145" s="0" t="str">
        <f aca="false">IFERROR(__xludf.dummyfunction("""COMPUTED_VALUE"""),"https://drive.google.com/open?id=1G3Irf9XS9iNk9i4rT-LQZmsCOBzhRy9Y, https://drive.google.com/open?id=1ClnEa7sd3NJy6MDRCff_F1e6AQxnu28k, https://drive.google.com/open?id=1uCYXjlS8nN7l5VPGrjjczWQsi96G8ooT, https://drive.google.com/open?id=1_oVUkjUsRuraeEvDs"&amp;"ICoxOuhFOktpujz")</f>
        <v>https://drive.google.com/open?id=1G3Irf9XS9iNk9i4rT-LQZmsCOBzhRy9Y, https://drive.google.com/open?id=1ClnEa7sd3NJy6MDRCff_F1e6AQxnu28k, https://drive.google.com/open?id=1uCYXjlS8nN7l5VPGrjjczWQsi96G8ooT, https://drive.google.com/open?id=1_oVUkjUsRuraeEvDsICoxOuhFOktpujz</v>
      </c>
    </row>
    <row r="146" customFormat="false" ht="14.25" hidden="false" customHeight="false" outlineLevel="0" collapsed="false">
      <c r="A146" s="18" t="str">
        <f aca="false">IFERROR(MID(D146,1,FIND("|",D146)-1)&amp;"-"&amp;C146,"")</f>
        <v>SICI201803-18-4-3</v>
      </c>
      <c r="B146" s="19" t="n">
        <f aca="false">IFERROR(__xludf.dummyfunction("""COMPUTED_VALUE"""),43917)</f>
        <v>43917</v>
      </c>
      <c r="C146" s="0" t="n">
        <f aca="false">IFERROR(__xludf.dummyfunction("""COMPUTED_VALUE"""),3)</f>
        <v>3</v>
      </c>
      <c r="D146" s="0" t="str">
        <f aca="false">IFERROR(__xludf.dummyfunction("""COMPUTED_VALUE"""),"SICI201803-18-4| Se implementará formato de control de medicamentos de salud pública con el fin de controlar el inventario de medicamentos como los usados para manejo de TBC: - 30/12/1899")</f>
        <v>SICI201803-18-4| Se implementará formato de control de medicamentos de salud pública con el fin de controlar el inventario de medicamentos como los usados para manejo de TBC: - 30/12/1899</v>
      </c>
      <c r="E146" s="0" t="str">
        <f aca="false">IFERROR(__xludf.dummyfunction("""COMPUTED_VALUE"""),"El formato de ingreso se está utilizando y se tiene implementado la acción esta completada.")</f>
        <v>El formato de ingreso se está utilizando y se tiene implementado la acción esta completada.</v>
      </c>
      <c r="F146" s="0" t="str">
        <f aca="false">IFERROR(__xludf.dummyfunction("""COMPUTED_VALUE"""),"Completo")</f>
        <v>Completo</v>
      </c>
      <c r="G146" s="0" t="str">
        <f aca="false">IFERROR(__xludf.dummyfunction("""COMPUTED_VALUE"""),"https://drive.google.com/open?id=1lpheINO9nmjAnhT3e8TsSZL2sJmSiRD9, https://drive.google.com/open?id=1x2qkzEyh1En6B2Y1JyMAW5-xYp_5jOSL, https://drive.google.com/open?id=1t6cBJzZiMumvJ6JerqTkLgnPmxGI1ILL")</f>
        <v>https://drive.google.com/open?id=1lpheINO9nmjAnhT3e8TsSZL2sJmSiRD9, https://drive.google.com/open?id=1x2qkzEyh1En6B2Y1JyMAW5-xYp_5jOSL, https://drive.google.com/open?id=1t6cBJzZiMumvJ6JerqTkLgnPmxGI1ILL</v>
      </c>
    </row>
    <row r="147" customFormat="false" ht="14.25" hidden="false" customHeight="false" outlineLevel="0" collapsed="false">
      <c r="A147" s="18" t="str">
        <f aca="false">IFERROR(MID(D147,1,FIND("|",D147)-1)&amp;"-"&amp;C147,"")</f>
        <v>SICI201803-19-1-3</v>
      </c>
      <c r="B147" s="19" t="n">
        <f aca="false">IFERROR(__xludf.dummyfunction("""COMPUTED_VALUE"""),43917)</f>
        <v>43917</v>
      </c>
      <c r="C147" s="0" t="n">
        <f aca="false">IFERROR(__xludf.dummyfunction("""COMPUTED_VALUE"""),3)</f>
        <v>3</v>
      </c>
      <c r="D147" s="0" t="str">
        <f aca="false">IFERROR(__xludf.dummyfunction("""COMPUTED_VALUE"""),"SICI201803-19-1| Se notificará al equipo HIS la necesidad de que el sistema de información genere alertas en el módulo de inventario que permitan evidenciar los pendientes de medicamentos y dispostivos medicos para el personal de almacén y Servicio Farmac"&amp;"éutico. - 31/05/2019")</f>
        <v>SICI201803-19-1| Se notificará al equipo HIS la necesidad de que el sistema de información genere alertas en el módulo de inventario que permitan evidenciar los pendientes de medicamentos y dispostivos medicos para el personal de almacén y Servicio Farmacéutico. - 31/05/2019</v>
      </c>
      <c r="E147" s="0" t="str">
        <f aca="false">IFERROR(__xludf.dummyfunction("""COMPUTED_VALUE"""),"Se tiene soporte de envío de correo al area HIS solicitando ayuda para solucionar  el tema ademas se tiene informe de minimos y maximos de farmacia")</f>
        <v>Se tiene soporte de envío de correo al area HIS solicitando ayuda para solucionar  el tema ademas se tiene informe de minimos y maximos de farmacia</v>
      </c>
      <c r="F147" s="0" t="str">
        <f aca="false">IFERROR(__xludf.dummyfunction("""COMPUTED_VALUE"""),"Completo")</f>
        <v>Completo</v>
      </c>
      <c r="G147" s="0" t="str">
        <f aca="false">IFERROR(__xludf.dummyfunction("""COMPUTED_VALUE"""),"https://drive.google.com/open?id=1j3gRiKWL85WiRhTCKI1WLDsmcgRCw28F, https://drive.google.com/open?id=1PPPLyoenvTGQczOs8Qvml7yY6zGQlIkv")</f>
        <v>https://drive.google.com/open?id=1j3gRiKWL85WiRhTCKI1WLDsmcgRCw28F, https://drive.google.com/open?id=1PPPLyoenvTGQczOs8Qvml7yY6zGQlIkv</v>
      </c>
    </row>
    <row r="148" customFormat="false" ht="14.25" hidden="false" customHeight="false" outlineLevel="0" collapsed="false">
      <c r="A148" s="18" t="str">
        <f aca="false">IFERROR(MID(D148,1,FIND("|",D148)-1)&amp;"-"&amp;C148,"")</f>
        <v>SICI201803-20-1-3</v>
      </c>
      <c r="B148" s="19" t="n">
        <f aca="false">IFERROR(__xludf.dummyfunction("""COMPUTED_VALUE"""),43917)</f>
        <v>43917</v>
      </c>
      <c r="C148" s="0" t="n">
        <f aca="false">IFERROR(__xludf.dummyfunction("""COMPUTED_VALUE"""),3)</f>
        <v>3</v>
      </c>
      <c r="D148" s="0" t="str">
        <f aca="false">IFERROR(__xludf.dummyfunction("""COMPUTED_VALUE"""),"SICI201803-20-1| Se notificar al equipo de HIS y a la Subgerencia Administrativa la necesidad de que el Sistema de Información permita en el módulo de inventarios el control de lotes, fechas de vencimiento de medicamentos y dispositivos médicos con el fin"&amp;" de garantizar un control de trazabilidad y de fechas de vencimiento. - 31/05/2019")</f>
        <v>SICI201803-20-1| Se notificar al equipo de HIS y a la Subgerencia Administrativa la necesidad de que el Sistema de Información permita en el módulo de inventarios el control de lotes, fechas de vencimiento de medicamentos y dispositivos médicos con el fin de garantizar un control de trazabilidad y de fechas de vencimiento. - 31/05/2019</v>
      </c>
      <c r="E148" s="0" t="str">
        <f aca="false">IFERROR(__xludf.dummyfunction("""COMPUTED_VALUE"""),"Se tiene evidencia de envio de correo a las farmacias de la subred  y de informes de control medicamentos  de proximos a vencer, sin embargo no hay evidencia de trabajo con el area de HIS ")</f>
        <v>Se tiene evidencia de envio de correo a las farmacias de la subred  y de informes de control medicamentos  de proximos a vencer, sin embargo no hay evidencia de trabajo con el area de HIS </v>
      </c>
      <c r="F148" s="0" t="str">
        <f aca="false">IFERROR(__xludf.dummyfunction("""COMPUTED_VALUE"""),"En desarrollo")</f>
        <v>En desarrollo</v>
      </c>
      <c r="G148" s="0" t="str">
        <f aca="false">IFERROR(__xludf.dummyfunction("""COMPUTED_VALUE"""),"https://drive.google.com/open?id=1yrM5zpyp3wWkb94gr89M7mJSa0iNU7SB, https://drive.google.com/open?id=1ftaIslTm6eJK1MlgRHm4kmhdgJB3BGf1, https://drive.google.com/open?id=1Vc_jVUz-mTiRtilLAuJVn7QFDnQcCz6B, https://drive.google.com/open?id=1RoGBvpCllCsXnHPug"&amp;"bYL1haQXjVajEMk, https://drive.google.com/open?id=1A4hCfPuEIkB2FL-v2R8cF1xCYdOlUxda")</f>
        <v>https://drive.google.com/open?id=1yrM5zpyp3wWkb94gr89M7mJSa0iNU7SB, https://drive.google.com/open?id=1ftaIslTm6eJK1MlgRHm4kmhdgJB3BGf1, https://drive.google.com/open?id=1Vc_jVUz-mTiRtilLAuJVn7QFDnQcCz6B, https://drive.google.com/open?id=1RoGBvpCllCsXnHPugbYL1haQXjVajEMk, https://drive.google.com/open?id=1A4hCfPuEIkB2FL-v2R8cF1xCYdOlUxda</v>
      </c>
    </row>
    <row r="149" customFormat="false" ht="14.25" hidden="false" customHeight="false" outlineLevel="0" collapsed="false">
      <c r="A149" s="18" t="str">
        <f aca="false">IFERROR(MID(D149,1,FIND("|",D149)-1)&amp;"-"&amp;C149,"")</f>
        <v>SICI201803-22-1-3</v>
      </c>
      <c r="B149" s="19" t="n">
        <f aca="false">IFERROR(__xludf.dummyfunction("""COMPUTED_VALUE"""),43917)</f>
        <v>43917</v>
      </c>
      <c r="C149" s="0" t="n">
        <f aca="false">IFERROR(__xludf.dummyfunction("""COMPUTED_VALUE"""),3)</f>
        <v>3</v>
      </c>
      <c r="D149" s="0" t="str">
        <f aca="false">IFERROR(__xludf.dummyfunction("""COMPUTED_VALUE"""),"SICI201803-22-1| El Servicio Farmacéutico realizará la solicitud de pedidos de 45 días al área de suministros (almacén) a través de correo electronico de acuerdo a sus necesidades. - 31/08/2019")</f>
        <v>SICI201803-22-1| El Servicio Farmacéutico realizará la solicitud de pedidos de 45 días al área de suministros (almacén) a través de correo electronico de acuerdo a sus necesidades. - 31/08/2019</v>
      </c>
      <c r="E149" s="0" t="str">
        <f aca="false">IFERROR(__xludf.dummyfunction("""COMPUTED_VALUE"""),"La acción se cerro desde el seguimiento anterior , existe evidencia de las solicitudes de pedido.")</f>
        <v>La acción se cerro desde el seguimiento anterior , existe evidencia de las solicitudes de pedido.</v>
      </c>
      <c r="F149" s="0" t="str">
        <f aca="false">IFERROR(__xludf.dummyfunction("""COMPUTED_VALUE"""),"Completo")</f>
        <v>Completo</v>
      </c>
      <c r="G149" s="0" t="str">
        <f aca="false">IFERROR(__xludf.dummyfunction("""COMPUTED_VALUE"""),"https://drive.google.com/open?id=1begvwzUOVnZJ78deTUfhyVwM8ES85s43, https://drive.google.com/open?id=1_a0gNwyeSwvNG4sAKMloBxfd1iAUm2No, https://drive.google.com/open?id=1_y75YlmiO1QGMPQTWTrX2ttPP1Xgrwxt, https://drive.google.com/open?id=1lnzzXPuWcN1JSWJBx"&amp;"71gCPLhddedSSd_, https://drive.google.com/open?id=116yNOxzaPzqtLwFmGDvA9ovVARYZdF29")</f>
        <v>https://drive.google.com/open?id=1begvwzUOVnZJ78deTUfhyVwM8ES85s43, https://drive.google.com/open?id=1_a0gNwyeSwvNG4sAKMloBxfd1iAUm2No, https://drive.google.com/open?id=1_y75YlmiO1QGMPQTWTrX2ttPP1Xgrwxt, https://drive.google.com/open?id=1lnzzXPuWcN1JSWJBx71gCPLhddedSSd_, https://drive.google.com/open?id=116yNOxzaPzqtLwFmGDvA9ovVARYZdF29</v>
      </c>
    </row>
    <row r="150" customFormat="false" ht="14.25" hidden="false" customHeight="false" outlineLevel="0" collapsed="false">
      <c r="A150" s="18" t="str">
        <f aca="false">IFERROR(MID(D150,1,FIND("|",D150)-1)&amp;"-"&amp;C150,"")</f>
        <v>SICI201803-22-2-3</v>
      </c>
      <c r="B150" s="19" t="n">
        <f aca="false">IFERROR(__xludf.dummyfunction("""COMPUTED_VALUE"""),43917)</f>
        <v>43917</v>
      </c>
      <c r="C150" s="0" t="n">
        <f aca="false">IFERROR(__xludf.dummyfunction("""COMPUTED_VALUE"""),3)</f>
        <v>3</v>
      </c>
      <c r="D150" s="0" t="str">
        <f aca="false">IFERROR(__xludf.dummyfunction("""COMPUTED_VALUE"""),"SICI201803-22-2| Se realizará el traslado de los medicamentos entre las diferentes unidades que cuentan con existencias para las farmacias que lo requieran. - 30/12/1899")</f>
        <v>SICI201803-22-2| Se realizará el traslado de los medicamentos entre las diferentes unidades que cuentan con existencias para las farmacias que lo requieran. - 30/12/1899</v>
      </c>
      <c r="E150" s="0" t="str">
        <f aca="false">IFERROR(__xludf.dummyfunction("""COMPUTED_VALUE"""),"Se tiene que el instructivo MI-SC-I-85-01 esta implementado y se llena el formato de las actividades, la accion esta cerrada desde el seguimiento anterior")</f>
        <v>Se tiene que el instructivo MI-SC-I-85-01 esta implementado y se llena el formato de las actividades, la accion esta cerrada desde el seguimiento anterior</v>
      </c>
      <c r="F150" s="0" t="str">
        <f aca="false">IFERROR(__xludf.dummyfunction("""COMPUTED_VALUE"""),"Completo")</f>
        <v>Completo</v>
      </c>
      <c r="G150" s="0" t="str">
        <f aca="false">IFERROR(__xludf.dummyfunction("""COMPUTED_VALUE"""),"https://drive.google.com/open?id=1dNPYhvl3n4_hpYtaCKPR8mI-VRlz0Kqe, https://drive.google.com/open?id=1eYZGfc-zOOlPCSOdb-0c7pFj4A-SqfoI, https://drive.google.com/open?id=1y5PuQkniSkWpu_XykLlrhNyeST_a-0eq, https://drive.google.com/open?id=1j3wyoUyG7XqGG48nc"&amp;"K68Lvz9UggRXZU-, https://drive.google.com/open?id=1CeKA7GS8yvsfdBkPWCyuscd9TtnLdlJO")</f>
        <v>https://drive.google.com/open?id=1dNPYhvl3n4_hpYtaCKPR8mI-VRlz0Kqe, https://drive.google.com/open?id=1eYZGfc-zOOlPCSOdb-0c7pFj4A-SqfoI, https://drive.google.com/open?id=1y5PuQkniSkWpu_XykLlrhNyeST_a-0eq, https://drive.google.com/open?id=1j3wyoUyG7XqGG48ncK68Lvz9UggRXZU-, https://drive.google.com/open?id=1CeKA7GS8yvsfdBkPWCyuscd9TtnLdlJO</v>
      </c>
    </row>
    <row r="151" customFormat="false" ht="14.25" hidden="false" customHeight="false" outlineLevel="0" collapsed="false">
      <c r="A151" s="18" t="str">
        <f aca="false">IFERROR(MID(D151,1,FIND("|",D151)-1)&amp;"-"&amp;C151,"")</f>
        <v>SICI201803-22-3-3</v>
      </c>
      <c r="B151" s="19" t="n">
        <f aca="false">IFERROR(__xludf.dummyfunction("""COMPUTED_VALUE"""),43917)</f>
        <v>43917</v>
      </c>
      <c r="C151" s="0" t="n">
        <f aca="false">IFERROR(__xludf.dummyfunction("""COMPUTED_VALUE"""),3)</f>
        <v>3</v>
      </c>
      <c r="D151" s="0" t="str">
        <f aca="false">IFERROR(__xludf.dummyfunction("""COMPUTED_VALUE"""),"SICI201803-22-3| Se notificará al área de Supervisión de contratos los medicamentos contratados que son criticos y que no se reciben en los pedidos. - 30/12/1899")</f>
        <v>SICI201803-22-3| Se notificará al área de Supervisión de contratos los medicamentos contratados que son criticos y que no se reciben en los pedidos. - 30/12/1899</v>
      </c>
      <c r="E151" s="0" t="str">
        <f aca="false">IFERROR(__xludf.dummyfunction("""COMPUTED_VALUE"""),"Aun se mantiene el envío de los medicamentos caracterizados como criticos la acción esta completa desde el seguimiento anterior")</f>
        <v>Aun se mantiene el envío de los medicamentos caracterizados como criticos la acción esta completa desde el seguimiento anterior</v>
      </c>
      <c r="F151" s="0" t="str">
        <f aca="false">IFERROR(__xludf.dummyfunction("""COMPUTED_VALUE"""),"Completo")</f>
        <v>Completo</v>
      </c>
      <c r="G151" s="0" t="str">
        <f aca="false">IFERROR(__xludf.dummyfunction("""COMPUTED_VALUE"""),"https://drive.google.com/open?id=1gZAXBlVAeBOPN55IBLDx3Ila6nZiNpQz, https://drive.google.com/open?id=19xd89o0uh4vnVyoC45DUD4G_7ThhYnCk, https://drive.google.com/open?id=1kSAaUAYazUvOmST_VXraF9UZHfzbql_p, https://drive.google.com/open?id=1ayYPE7pYpbKnJtRHr"&amp;"1xHxS66ZxfR35US, https://drive.google.com/open?id=1IMDjc64QOo_S7ewta8jgQZLKjJS8EaL8")</f>
        <v>https://drive.google.com/open?id=1gZAXBlVAeBOPN55IBLDx3Ila6nZiNpQz, https://drive.google.com/open?id=19xd89o0uh4vnVyoC45DUD4G_7ThhYnCk, https://drive.google.com/open?id=1kSAaUAYazUvOmST_VXraF9UZHfzbql_p, https://drive.google.com/open?id=1ayYPE7pYpbKnJtRHr1xHxS66ZxfR35US, https://drive.google.com/open?id=1IMDjc64QOo_S7ewta8jgQZLKjJS8EaL8</v>
      </c>
    </row>
    <row r="152" customFormat="false" ht="14.25" hidden="false" customHeight="false" outlineLevel="0" collapsed="false">
      <c r="A152" s="18" t="str">
        <f aca="false">IFERROR(MID(D152,1,FIND("|",D152)-1)&amp;"-"&amp;C152,"")</f>
        <v>SICI201803-22-4-3</v>
      </c>
      <c r="B152" s="19" t="n">
        <f aca="false">IFERROR(__xludf.dummyfunction("""COMPUTED_VALUE"""),43917)</f>
        <v>43917</v>
      </c>
      <c r="C152" s="0" t="n">
        <f aca="false">IFERROR(__xludf.dummyfunction("""COMPUTED_VALUE"""),3)</f>
        <v>3</v>
      </c>
      <c r="D152" s="0" t="str">
        <f aca="false">IFERROR(__xludf.dummyfunction("""COMPUTED_VALUE"""),"SICI201803-22-4| El Servicio Farmaceutico socializará en el Comité de Farmacia y Terapéutica el listado de medicamentos debastecidos a nivel nacional para solicitar al personal asistencial posibles alternativas terapéuticas. - 30/12/1899")</f>
        <v>SICI201803-22-4| El Servicio Farmaceutico socializará en el Comité de Farmacia y Terapéutica el listado de medicamentos debastecidos a nivel nacional para solicitar al personal asistencial posibles alternativas terapéuticas. - 30/12/1899</v>
      </c>
      <c r="E152" s="0" t="str">
        <f aca="false">IFERROR(__xludf.dummyfunction("""COMPUTED_VALUE"""),"Se tiene evidencia del reporte de los productos desabastecidos ante el comité de Farmacia . La acción esta completa del seguimiento anterior.")</f>
        <v>Se tiene evidencia del reporte de los productos desabastecidos ante el comité de Farmacia . La acción esta completa del seguimiento anterior.</v>
      </c>
      <c r="F152" s="0" t="str">
        <f aca="false">IFERROR(__xludf.dummyfunction("""COMPUTED_VALUE"""),"Completo")</f>
        <v>Completo</v>
      </c>
      <c r="G152" s="0" t="str">
        <f aca="false">IFERROR(__xludf.dummyfunction("""COMPUTED_VALUE"""),"https://drive.google.com/open?id=1D2A9uFwdkzYgcTzWFVGF6EBFRoBMHkee, https://drive.google.com/open?id=13C3Se3q6x8jpBDUSkHGTU3K5DYIPNXQM, https://drive.google.com/open?id=1WOoI37esSH5zLzpusU-CtsEEHQcaBxNW, https://drive.google.com/open?id=1EbOJagFrfKBvrXVb9"&amp;"ol-oQuxRAAscqiu")</f>
        <v>https://drive.google.com/open?id=1D2A9uFwdkzYgcTzWFVGF6EBFRoBMHkee, https://drive.google.com/open?id=13C3Se3q6x8jpBDUSkHGTU3K5DYIPNXQM, https://drive.google.com/open?id=1WOoI37esSH5zLzpusU-CtsEEHQcaBxNW, https://drive.google.com/open?id=1EbOJagFrfKBvrXVb9ol-oQuxRAAscqiu</v>
      </c>
    </row>
    <row r="153" customFormat="false" ht="14.25" hidden="false" customHeight="false" outlineLevel="0" collapsed="false">
      <c r="A153" s="18" t="str">
        <f aca="false">IFERROR(MID(D153,1,FIND("|",D153)-1)&amp;"-"&amp;C153,"")</f>
        <v>SICI201803-22-5-3</v>
      </c>
      <c r="B153" s="19" t="n">
        <f aca="false">IFERROR(__xludf.dummyfunction("""COMPUTED_VALUE"""),43917)</f>
        <v>43917</v>
      </c>
      <c r="C153" s="0" t="n">
        <f aca="false">IFERROR(__xludf.dummyfunction("""COMPUTED_VALUE"""),3)</f>
        <v>3</v>
      </c>
      <c r="D153" s="0" t="str">
        <f aca="false">IFERROR(__xludf.dummyfunction("""COMPUTED_VALUE"""),"SICI201803-22-5| El servicio farmacéutico notificará al área de caja menor que cuando se soliciten los insumos pendientes y que no estén contratados por la subred. los mismos deben ser gestionados en un plazo no mayor a 24 horas. - 30/12/1899")</f>
        <v>SICI201803-22-5| El servicio farmacéutico notificará al área de caja menor que cuando se soliciten los insumos pendientes y que no estén contratados por la subred. los mismos deben ser gestionados en un plazo no mayor a 24 horas. - 30/12/1899</v>
      </c>
      <c r="E153" s="0" t="str">
        <f aca="false">IFERROR(__xludf.dummyfunction("""COMPUTED_VALUE"""),"Se mantiene las solicitudes a caja menor de los insumos pendientes. la acción se encuentra completada del seguimiento anterior.")</f>
        <v>Se mantiene las solicitudes a caja menor de los insumos pendientes. la acción se encuentra completada del seguimiento anterior.</v>
      </c>
      <c r="F153" s="0" t="str">
        <f aca="false">IFERROR(__xludf.dummyfunction("""COMPUTED_VALUE"""),"Completo")</f>
        <v>Completo</v>
      </c>
      <c r="G153" s="0" t="str">
        <f aca="false">IFERROR(__xludf.dummyfunction("""COMPUTED_VALUE"""),"https://drive.google.com/open?id=1shFqe7tq6-jbr1YHLUR4--TrosWbFYPk, https://drive.google.com/open?id=1GuRab4XFw3oNfuCGzSw8_EcDBK8egRtc, https://drive.google.com/open?id=1jFoHkDBtKFJhqZ5Yv1o0TCJeUbbWpMzT")</f>
        <v>https://drive.google.com/open?id=1shFqe7tq6-jbr1YHLUR4--TrosWbFYPk, https://drive.google.com/open?id=1GuRab4XFw3oNfuCGzSw8_EcDBK8egRtc, https://drive.google.com/open?id=1jFoHkDBtKFJhqZ5Yv1o0TCJeUbbWpMzT</v>
      </c>
    </row>
    <row r="154" customFormat="false" ht="14.25" hidden="false" customHeight="false" outlineLevel="0" collapsed="false">
      <c r="A154" s="18" t="str">
        <f aca="false">IFERROR(MID(D154,1,FIND("|",D154)-1)&amp;"-"&amp;C154,"")</f>
        <v>SICI201803-1-1-4</v>
      </c>
      <c r="B154" s="19" t="n">
        <f aca="false">IFERROR(__xludf.dummyfunction("""COMPUTED_VALUE"""),44369)</f>
        <v>44369</v>
      </c>
      <c r="C154" s="0" t="n">
        <f aca="false">IFERROR(__xludf.dummyfunction("""COMPUTED_VALUE"""),4)</f>
        <v>4</v>
      </c>
      <c r="D154" s="0" t="str">
        <f aca="false">IFERROR(__xludf.dummyfunction("""COMPUTED_VALUE"""),"SICI201803-1-1| Se notificarán de forma inmediata al área de facturación los pacientes inactivos con el fin de obtener solución en menos de 24 horas. - 31/08/2019")</f>
        <v>SICI201803-1-1| Se notificarán de forma inmediata al área de facturación los pacientes inactivos con el fin de obtener solución en menos de 24 horas. - 31/08/2019</v>
      </c>
      <c r="E154" s="0" t="str">
        <f aca="false">IFERROR(__xludf.dummyfunction("""COMPUTED_VALUE"""),"Esta completa desde seguimiento anterior")</f>
        <v>Esta completa desde seguimiento anterior</v>
      </c>
      <c r="F154" s="0" t="str">
        <f aca="false">IFERROR(__xludf.dummyfunction("""COMPUTED_VALUE"""),"Completo")</f>
        <v>Completo</v>
      </c>
    </row>
    <row r="155" customFormat="false" ht="14.25" hidden="false" customHeight="false" outlineLevel="0" collapsed="false">
      <c r="A155" s="18" t="str">
        <f aca="false">IFERROR(MID(D155,1,FIND("|",D155)-1)&amp;"-"&amp;C155,"")</f>
        <v>SICI201803-1-2-4</v>
      </c>
      <c r="B155" s="19" t="n">
        <f aca="false">IFERROR(__xludf.dummyfunction("""COMPUTED_VALUE"""),44369)</f>
        <v>44369</v>
      </c>
      <c r="C155" s="0" t="n">
        <f aca="false">IFERROR(__xludf.dummyfunction("""COMPUTED_VALUE"""),4)</f>
        <v>4</v>
      </c>
      <c r="D155" s="0" t="str">
        <f aca="false">IFERROR(__xludf.dummyfunction("""COMPUTED_VALUE"""),"SICI201803-1-2| Se elaborará intrumento (instructivo) en el cual se deje claro lo concerniente al manejo de las desviaciones presentadas por: caídas del sistema, valores negativos, pedidos de proveedores sin traslado y préstamos de insumos no legalizados "&amp;"con el fin de minimizar las desviaciones. - 30/12/1899")</f>
        <v>SICI201803-1-2| Se elaborará intrumento (instructivo) en el cual se deje claro lo concerniente al manejo de las desviaciones presentadas por: caídas del sistema, valores negativos, pedidos de proveedores sin traslado y préstamos de insumos no legalizados con el fin de minimizar las desviaciones. - 30/12/1899</v>
      </c>
      <c r="E155" s="0" t="str">
        <f aca="false">IFERROR(__xludf.dummyfunction("""COMPUTED_VALUE"""),"Esta completa desde seguimiento anterior")</f>
        <v>Esta completa desde seguimiento anterior</v>
      </c>
      <c r="F155" s="0" t="str">
        <f aca="false">IFERROR(__xludf.dummyfunction("""COMPUTED_VALUE"""),"Completo")</f>
        <v>Completo</v>
      </c>
    </row>
    <row r="156" customFormat="false" ht="14.25" hidden="false" customHeight="false" outlineLevel="0" collapsed="false">
      <c r="A156" s="18" t="str">
        <f aca="false">IFERROR(MID(D156,1,FIND("|",D156)-1)&amp;"-"&amp;C156,"")</f>
        <v>SICI201803-1-3-4</v>
      </c>
      <c r="B156" s="19" t="n">
        <f aca="false">IFERROR(__xludf.dummyfunction("""COMPUTED_VALUE"""),44369)</f>
        <v>44369</v>
      </c>
      <c r="C156" s="0" t="n">
        <f aca="false">IFERROR(__xludf.dummyfunction("""COMPUTED_VALUE"""),4)</f>
        <v>4</v>
      </c>
      <c r="D156" s="0" t="str">
        <f aca="false">IFERROR(__xludf.dummyfunction("""COMPUTED_VALUE"""),"SICI201803-1-3| Se realizará capacitacion al personal sobre el buen manejo de los medicamentos e insumos de acuerdo a las buenas prácticas de almacenamiento y dispensacion. - 30/12/1899")</f>
        <v>SICI201803-1-3| Se realizará capacitacion al personal sobre el buen manejo de los medicamentos e insumos de acuerdo a las buenas prácticas de almacenamiento y dispensacion. - 30/12/1899</v>
      </c>
      <c r="E156" s="0" t="str">
        <f aca="false">IFERROR(__xludf.dummyfunction("""COMPUTED_VALUE"""),"Esta completa desde seguimiento anterior")</f>
        <v>Esta completa desde seguimiento anterior</v>
      </c>
      <c r="F156" s="0" t="str">
        <f aca="false">IFERROR(__xludf.dummyfunction("""COMPUTED_VALUE"""),"Completo")</f>
        <v>Completo</v>
      </c>
    </row>
    <row r="157" customFormat="false" ht="14.25" hidden="false" customHeight="false" outlineLevel="0" collapsed="false">
      <c r="A157" s="18" t="str">
        <f aca="false">IFERROR(MID(D157,1,FIND("|",D157)-1)&amp;"-"&amp;C157,"")</f>
        <v>SICI201803-1-4-4</v>
      </c>
      <c r="B157" s="19" t="n">
        <f aca="false">IFERROR(__xludf.dummyfunction("""COMPUTED_VALUE"""),44369)</f>
        <v>44369</v>
      </c>
      <c r="C157" s="0" t="n">
        <f aca="false">IFERROR(__xludf.dummyfunction("""COMPUTED_VALUE"""),4)</f>
        <v>4</v>
      </c>
      <c r="D157" s="0" t="str">
        <f aca="false">IFERROR(__xludf.dummyfunction("""COMPUTED_VALUE"""),"SICI201803-1-4| Se diseñará e implementará instrumento (formato) para préstamos única y exclusivamente para casos de urgencia vital, el formato debe llegar a la farmacia debidamente diligenciado con toda la información del paciente y de la persona que lo "&amp;"solicita. - 30/12/1899")</f>
        <v>SICI201803-1-4| Se diseñará e implementará instrumento (formato) para préstamos única y exclusivamente para casos de urgencia vital, el formato debe llegar a la farmacia debidamente diligenciado con toda la información del paciente y de la persona que lo solicita. - 30/12/1899</v>
      </c>
      <c r="E157" s="0" t="str">
        <f aca="false">IFERROR(__xludf.dummyfunction("""COMPUTED_VALUE"""),"Esta completa desde seguimiento anterior")</f>
        <v>Esta completa desde seguimiento anterior</v>
      </c>
      <c r="F157" s="0" t="str">
        <f aca="false">IFERROR(__xludf.dummyfunction("""COMPUTED_VALUE"""),"Completo")</f>
        <v>Completo</v>
      </c>
    </row>
    <row r="158" customFormat="false" ht="14.25" hidden="false" customHeight="false" outlineLevel="0" collapsed="false">
      <c r="A158" s="18" t="str">
        <f aca="false">IFERROR(MID(D158,1,FIND("|",D158)-1)&amp;"-"&amp;C158,"")</f>
        <v>SICI201803-1-5-4</v>
      </c>
      <c r="B158" s="19" t="n">
        <f aca="false">IFERROR(__xludf.dummyfunction("""COMPUTED_VALUE"""),44369)</f>
        <v>44369</v>
      </c>
      <c r="C158" s="0" t="n">
        <f aca="false">IFERROR(__xludf.dummyfunction("""COMPUTED_VALUE"""),4)</f>
        <v>4</v>
      </c>
      <c r="D158" s="0" t="str">
        <f aca="false">IFERROR(__xludf.dummyfunction("""COMPUTED_VALUE"""),"SICI201803-1-5| Los préstamos no legalizados se notificarán al referente del servicio para que éste gestione con la persona responsable del préstamo la respectiva legalizacion de los mismos. - 30/12/1899")</f>
        <v>SICI201803-1-5| Los préstamos no legalizados se notificarán al referente del servicio para que éste gestione con la persona responsable del préstamo la respectiva legalizacion de los mismos. - 30/12/1899</v>
      </c>
      <c r="E158" s="0" t="str">
        <f aca="false">IFERROR(__xludf.dummyfunction("""COMPUTED_VALUE"""),"Esta completa desde seguimiento anterior")</f>
        <v>Esta completa desde seguimiento anterior</v>
      </c>
      <c r="F158" s="0" t="str">
        <f aca="false">IFERROR(__xludf.dummyfunction("""COMPUTED_VALUE"""),"Completo")</f>
        <v>Completo</v>
      </c>
    </row>
    <row r="159" customFormat="false" ht="14.25" hidden="false" customHeight="false" outlineLevel="0" collapsed="false">
      <c r="A159" s="18" t="str">
        <f aca="false">IFERROR(MID(D159,1,FIND("|",D159)-1)&amp;"-"&amp;C159,"")</f>
        <v>SICI201803-1-6-4</v>
      </c>
      <c r="B159" s="19" t="n">
        <f aca="false">IFERROR(__xludf.dummyfunction("""COMPUTED_VALUE"""),44369)</f>
        <v>44369</v>
      </c>
      <c r="C159" s="0" t="n">
        <f aca="false">IFERROR(__xludf.dummyfunction("""COMPUTED_VALUE"""),4)</f>
        <v>4</v>
      </c>
      <c r="D159" s="0" t="str">
        <f aca="false">IFERROR(__xludf.dummyfunction("""COMPUTED_VALUE"""),"SICI201803-1-6| Se notificará a la Direccion administrativa (suministros) para que generen acciones de mejora con respecto a las entregas sin traslado. - 30/12/1899")</f>
        <v>SICI201803-1-6| Se notificará a la Direccion administrativa (suministros) para que generen acciones de mejora con respecto a las entregas sin traslado. - 30/12/1899</v>
      </c>
      <c r="E159" s="0" t="str">
        <f aca="false">IFERROR(__xludf.dummyfunction("""COMPUTED_VALUE"""),"Se realizó envió de correo de solicitud a HIS ya  a almacén para que validen con CARVAJAL,  si es posible que se habilite una forma que el traslado solo sea reflejado en sistema en el momento que llegue en físico esto para tener un control en las salidas "&amp;"e ingresos de los medicamentos y/ dispositivos médicos.")</f>
        <v>Se realizó envió de correo de solicitud a HIS ya  a almacén para que validen con CARVAJAL,  si es posible que se habilite una forma que el traslado solo sea reflejado en sistema en el momento que llegue en físico esto para tener un control en las salidas e ingresos de los medicamentos y/ dispositivos médicos.</v>
      </c>
      <c r="F159" s="0" t="str">
        <f aca="false">IFERROR(__xludf.dummyfunction("""COMPUTED_VALUE"""),"Completo")</f>
        <v>Completo</v>
      </c>
      <c r="G159" s="0" t="str">
        <f aca="false">IFERROR(__xludf.dummyfunction("""COMPUTED_VALUE"""),"https://drive.google.com/open?id=11uYMhuue4Xqv4SSRelJbxRlZRFqYMDri, https://drive.google.com/open?id=1jjxGC2LoPNFI3Dgp9gvio_DA8HDvlw3Z")</f>
        <v>https://drive.google.com/open?id=11uYMhuue4Xqv4SSRelJbxRlZRFqYMDri, https://drive.google.com/open?id=1jjxGC2LoPNFI3Dgp9gvio_DA8HDvlw3Z</v>
      </c>
    </row>
    <row r="160" customFormat="false" ht="14.25" hidden="false" customHeight="false" outlineLevel="0" collapsed="false">
      <c r="A160" s="18" t="str">
        <f aca="false">IFERROR(MID(D160,1,FIND("|",D160)-1)&amp;"-"&amp;C160,"")</f>
        <v>SICI201803-1-7-4</v>
      </c>
      <c r="B160" s="19" t="n">
        <f aca="false">IFERROR(__xludf.dummyfunction("""COMPUTED_VALUE"""),44369)</f>
        <v>44369</v>
      </c>
      <c r="C160" s="0" t="n">
        <f aca="false">IFERROR(__xludf.dummyfunction("""COMPUTED_VALUE"""),4)</f>
        <v>4</v>
      </c>
      <c r="D160" s="0" t="str">
        <f aca="false">IFERROR(__xludf.dummyfunction("""COMPUTED_VALUE"""),"SICI201803-1-7| Se notificará por correo electrónico a la Direccion de Servicios Complementarios la necesidad de completar el recurso humano para poder ejecutar las actividades de control en cuanto al manejo de inventarios. - 30/12/1899")</f>
        <v>SICI201803-1-7| Se notificará por correo electrónico a la Direccion de Servicios Complementarios la necesidad de completar el recurso humano para poder ejecutar las actividades de control en cuanto al manejo de inventarios. - 30/12/1899</v>
      </c>
      <c r="E160" s="0" t="str">
        <f aca="false">IFERROR(__xludf.dummyfunction("""COMPUTED_VALUE"""),"Esta completa desde seguimiento anterior")</f>
        <v>Esta completa desde seguimiento anterior</v>
      </c>
      <c r="F160" s="0" t="str">
        <f aca="false">IFERROR(__xludf.dummyfunction("""COMPUTED_VALUE"""),"Completo")</f>
        <v>Completo</v>
      </c>
    </row>
    <row r="161" customFormat="false" ht="14.25" hidden="false" customHeight="false" outlineLevel="0" collapsed="false">
      <c r="A161" s="18" t="str">
        <f aca="false">IFERROR(MID(D161,1,FIND("|",D161)-1)&amp;"-"&amp;C161,"")</f>
        <v>SICI201803-2-1-4</v>
      </c>
      <c r="B161" s="19" t="n">
        <f aca="false">IFERROR(__xludf.dummyfunction("""COMPUTED_VALUE"""),44369)</f>
        <v>44369</v>
      </c>
      <c r="C161" s="0" t="n">
        <f aca="false">IFERROR(__xludf.dummyfunction("""COMPUTED_VALUE"""),4)</f>
        <v>4</v>
      </c>
      <c r="D161" s="0" t="str">
        <f aca="false">IFERROR(__xludf.dummyfunction("""COMPUTED_VALUE"""),"SICI201803-2-1| Se realizará inventario del estado de los muebles de medicamentos de control especial con una periodicidad de cada 4 meses. - 31/05/2019")</f>
        <v>SICI201803-2-1| Se realizará inventario del estado de los muebles de medicamentos de control especial con una periodicidad de cada 4 meses. - 31/05/2019</v>
      </c>
      <c r="E161" s="0" t="str">
        <f aca="false">IFERROR(__xludf.dummyfunction("""COMPUTED_VALUE"""),"Esta completa desde seguimiento anterior")</f>
        <v>Esta completa desde seguimiento anterior</v>
      </c>
      <c r="F161" s="0" t="str">
        <f aca="false">IFERROR(__xludf.dummyfunction("""COMPUTED_VALUE"""),"Completo")</f>
        <v>Completo</v>
      </c>
    </row>
    <row r="162" customFormat="false" ht="14.25" hidden="false" customHeight="false" outlineLevel="0" collapsed="false">
      <c r="A162" s="18" t="str">
        <f aca="false">IFERROR(MID(D162,1,FIND("|",D162)-1)&amp;"-"&amp;C162,"")</f>
        <v>SICI201803-2-2-4</v>
      </c>
      <c r="B162" s="19" t="n">
        <f aca="false">IFERROR(__xludf.dummyfunction("""COMPUTED_VALUE"""),44369)</f>
        <v>44369</v>
      </c>
      <c r="C162" s="0" t="n">
        <f aca="false">IFERROR(__xludf.dummyfunction("""COMPUTED_VALUE"""),4)</f>
        <v>4</v>
      </c>
      <c r="D162" s="0" t="str">
        <f aca="false">IFERROR(__xludf.dummyfunction("""COMPUTED_VALUE"""),"SICI201803-2-2| Se generará instrumento de verificación (formato) con el fin de tener soporte escrito de la actividad realizada en el punto 1. - 30/12/1899")</f>
        <v>SICI201803-2-2| Se generará instrumento de verificación (formato) con el fin de tener soporte escrito de la actividad realizada en el punto 1. - 30/12/1899</v>
      </c>
      <c r="E162" s="0" t="str">
        <f aca="false">IFERROR(__xludf.dummyfunction("""COMPUTED_VALUE"""),"Esta completa desde seguimiento anterior")</f>
        <v>Esta completa desde seguimiento anterior</v>
      </c>
      <c r="F162" s="0" t="str">
        <f aca="false">IFERROR(__xludf.dummyfunction("""COMPUTED_VALUE"""),"Completo")</f>
        <v>Completo</v>
      </c>
    </row>
    <row r="163" customFormat="false" ht="14.25" hidden="false" customHeight="false" outlineLevel="0" collapsed="false">
      <c r="A163" s="18" t="str">
        <f aca="false">IFERROR(MID(D163,1,FIND("|",D163)-1)&amp;"-"&amp;C163,"")</f>
        <v>SICI201803-2-3-4</v>
      </c>
      <c r="B163" s="19" t="n">
        <f aca="false">IFERROR(__xludf.dummyfunction("""COMPUTED_VALUE"""),44369)</f>
        <v>44369</v>
      </c>
      <c r="C163" s="0" t="n">
        <f aca="false">IFERROR(__xludf.dummyfunction("""COMPUTED_VALUE"""),4)</f>
        <v>4</v>
      </c>
      <c r="D163" s="0" t="str">
        <f aca="false">IFERROR(__xludf.dummyfunction("""COMPUTED_VALUE"""),"SICI201803-2-3| En caso de no cumplir con los requisitos de seguridad del mueble (chapas en buen estado) se notificará a través de la mesa de ayuda al área de mantenimiento o activos físicos para su reparación o cambio. - 30/12/1899")</f>
        <v>SICI201803-2-3| En caso de no cumplir con los requisitos de seguridad del mueble (chapas en buen estado) se notificará a través de la mesa de ayuda al área de mantenimiento o activos físicos para su reparación o cambio. - 30/12/1899</v>
      </c>
      <c r="E163" s="0" t="str">
        <f aca="false">IFERROR(__xludf.dummyfunction("""COMPUTED_VALUE"""),"Esta completa desde seguimiento anterior")</f>
        <v>Esta completa desde seguimiento anterior</v>
      </c>
      <c r="F163" s="0" t="str">
        <f aca="false">IFERROR(__xludf.dummyfunction("""COMPUTED_VALUE"""),"Completo")</f>
        <v>Completo</v>
      </c>
    </row>
    <row r="164" customFormat="false" ht="14.25" hidden="false" customHeight="false" outlineLevel="0" collapsed="false">
      <c r="A164" s="18" t="str">
        <f aca="false">IFERROR(MID(D164,1,FIND("|",D164)-1)&amp;"-"&amp;C164,"")</f>
        <v>SICI201803-2-4-4</v>
      </c>
      <c r="B164" s="19" t="n">
        <f aca="false">IFERROR(__xludf.dummyfunction("""COMPUTED_VALUE"""),44369)</f>
        <v>44369</v>
      </c>
      <c r="C164" s="0" t="n">
        <f aca="false">IFERROR(__xludf.dummyfunction("""COMPUTED_VALUE"""),4)</f>
        <v>4</v>
      </c>
      <c r="D164" s="0" t="str">
        <f aca="false">IFERROR(__xludf.dummyfunction("""COMPUTED_VALUE"""),"SICI201803-2-4| Se realizará seguimiento de las correcciones pertinentes. - 30/12/1899")</f>
        <v>SICI201803-2-4| Se realizará seguimiento de las correcciones pertinentes. - 30/12/1899</v>
      </c>
      <c r="E164" s="0" t="str">
        <f aca="false">IFERROR(__xludf.dummyfunction("""COMPUTED_VALUE"""),"Esta completa desde seguimiento anterior")</f>
        <v>Esta completa desde seguimiento anterior</v>
      </c>
      <c r="F164" s="0" t="str">
        <f aca="false">IFERROR(__xludf.dummyfunction("""COMPUTED_VALUE"""),"Completo")</f>
        <v>Completo</v>
      </c>
    </row>
    <row r="165" customFormat="false" ht="14.25" hidden="false" customHeight="false" outlineLevel="0" collapsed="false">
      <c r="A165" s="18" t="str">
        <f aca="false">IFERROR(MID(D165,1,FIND("|",D165)-1)&amp;"-"&amp;C165,"")</f>
        <v>SICI201803-3-1-4</v>
      </c>
      <c r="B165" s="19" t="n">
        <f aca="false">IFERROR(__xludf.dummyfunction("""COMPUTED_VALUE"""),44369)</f>
        <v>44369</v>
      </c>
      <c r="C165" s="0" t="n">
        <f aca="false">IFERROR(__xludf.dummyfunction("""COMPUTED_VALUE"""),4)</f>
        <v>4</v>
      </c>
      <c r="D165" s="0" t="str">
        <f aca="false">IFERROR(__xludf.dummyfunction("""COMPUTED_VALUE"""),"SICI201803-3-1| Se notificará al referente de enfermería el no cumplimiento del correcto uso y diligenciamiento del formato de devoluciones por parte de enfermeria. - 31/05/2019")</f>
        <v>SICI201803-3-1| Se notificará al referente de enfermería el no cumplimiento del correcto uso y diligenciamiento del formato de devoluciones por parte de enfermeria. - 31/05/2019</v>
      </c>
      <c r="E165" s="0" t="str">
        <f aca="false">IFERROR(__xludf.dummyfunction("""COMPUTED_VALUE"""),"Esta completa desde seguimiento anterior")</f>
        <v>Esta completa desde seguimiento anterior</v>
      </c>
      <c r="F165" s="0" t="str">
        <f aca="false">IFERROR(__xludf.dummyfunction("""COMPUTED_VALUE"""),"Completo")</f>
        <v>Completo</v>
      </c>
    </row>
    <row r="166" customFormat="false" ht="14.25" hidden="false" customHeight="false" outlineLevel="0" collapsed="false">
      <c r="A166" s="18" t="str">
        <f aca="false">IFERROR(MID(D166,1,FIND("|",D166)-1)&amp;"-"&amp;C166,"")</f>
        <v>SICI201803-3-2-4</v>
      </c>
      <c r="B166" s="19" t="n">
        <f aca="false">IFERROR(__xludf.dummyfunction("""COMPUTED_VALUE"""),44369)</f>
        <v>44369</v>
      </c>
      <c r="C166" s="0" t="n">
        <f aca="false">IFERROR(__xludf.dummyfunction("""COMPUTED_VALUE"""),4)</f>
        <v>4</v>
      </c>
      <c r="D166" s="0" t="str">
        <f aca="false">IFERROR(__xludf.dummyfunction("""COMPUTED_VALUE"""),"SICI201803-3-2| Posterior a la fecha de notificación se exigirá desde el servicio farmacéutico dicho cumplimiento y no se recibirán devoluciones sin este documento. - 30/12/1899")</f>
        <v>SICI201803-3-2| Posterior a la fecha de notificación se exigirá desde el servicio farmacéutico dicho cumplimiento y no se recibirán devoluciones sin este documento. - 30/12/1899</v>
      </c>
      <c r="E166" s="0" t="str">
        <f aca="false">IFERROR(__xludf.dummyfunction("""COMPUTED_VALUE"""),"Esta completa desde seguimiento anterior")</f>
        <v>Esta completa desde seguimiento anterior</v>
      </c>
      <c r="F166" s="0" t="str">
        <f aca="false">IFERROR(__xludf.dummyfunction("""COMPUTED_VALUE"""),"Completo")</f>
        <v>Completo</v>
      </c>
    </row>
    <row r="167" customFormat="false" ht="14.25" hidden="false" customHeight="false" outlineLevel="0" collapsed="false">
      <c r="A167" s="18" t="str">
        <f aca="false">IFERROR(MID(D167,1,FIND("|",D167)-1)&amp;"-"&amp;C167,"")</f>
        <v>SICI201803-3-3-4</v>
      </c>
      <c r="B167" s="19" t="n">
        <f aca="false">IFERROR(__xludf.dummyfunction("""COMPUTED_VALUE"""),44369)</f>
        <v>44369</v>
      </c>
      <c r="C167" s="0" t="n">
        <f aca="false">IFERROR(__xludf.dummyfunction("""COMPUTED_VALUE"""),4)</f>
        <v>4</v>
      </c>
      <c r="D167" s="0" t="str">
        <f aca="false">IFERROR(__xludf.dummyfunction("""COMPUTED_VALUE"""),"SICI201803-3-3| Se notificará al equipo HIS sobre los inconvenientes presentados en cuanto a las devoluciones por sistema y se hará seguimiento. - 30/12/1899")</f>
        <v>SICI201803-3-3| Se notificará al equipo HIS sobre los inconvenientes presentados en cuanto a las devoluciones por sistema y se hará seguimiento. - 30/12/1899</v>
      </c>
      <c r="E167" s="0" t="str">
        <f aca="false">IFERROR(__xludf.dummyfunction("""COMPUTED_VALUE"""),"Esta completa desde seguimiento anterior")</f>
        <v>Esta completa desde seguimiento anterior</v>
      </c>
      <c r="F167" s="0" t="str">
        <f aca="false">IFERROR(__xludf.dummyfunction("""COMPUTED_VALUE"""),"Completo")</f>
        <v>Completo</v>
      </c>
    </row>
    <row r="168" customFormat="false" ht="14.25" hidden="false" customHeight="false" outlineLevel="0" collapsed="false">
      <c r="A168" s="18" t="str">
        <f aca="false">IFERROR(MID(D168,1,FIND("|",D168)-1)&amp;"-"&amp;C168,"")</f>
        <v>SICI201803-5-1-4</v>
      </c>
      <c r="B168" s="19" t="n">
        <f aca="false">IFERROR(__xludf.dummyfunction("""COMPUTED_VALUE"""),44369)</f>
        <v>44369</v>
      </c>
      <c r="C168" s="0" t="n">
        <f aca="false">IFERROR(__xludf.dummyfunction("""COMPUTED_VALUE"""),4)</f>
        <v>4</v>
      </c>
      <c r="D168" s="0" t="str">
        <f aca="false">IFERROR(__xludf.dummyfunction("""COMPUTED_VALUE"""),"SICI201803-5-1| Se notificará a Supervisión de contratos la necesidad de la dispensación de forma completa y oportuna el pedido de 45 días con el fin de minimizar los medicamentos o insumos faltantes. - 30/04/2019")</f>
        <v>SICI201803-5-1| Se notificará a Supervisión de contratos la necesidad de la dispensación de forma completa y oportuna el pedido de 45 días con el fin de minimizar los medicamentos o insumos faltantes. - 30/04/2019</v>
      </c>
      <c r="E168" s="0" t="str">
        <f aca="false">IFERROR(__xludf.dummyfunction("""COMPUTED_VALUE"""),"Esta completa desde seguimiento anterior")</f>
        <v>Esta completa desde seguimiento anterior</v>
      </c>
      <c r="F168" s="0" t="str">
        <f aca="false">IFERROR(__xludf.dummyfunction("""COMPUTED_VALUE"""),"Completo")</f>
        <v>Completo</v>
      </c>
    </row>
    <row r="169" customFormat="false" ht="14.25" hidden="false" customHeight="false" outlineLevel="0" collapsed="false">
      <c r="A169" s="18" t="str">
        <f aca="false">IFERROR(MID(D169,1,FIND("|",D169)-1)&amp;"-"&amp;C169,"")</f>
        <v>SICI201803-5-2-4</v>
      </c>
      <c r="B169" s="19" t="n">
        <f aca="false">IFERROR(__xludf.dummyfunction("""COMPUTED_VALUE"""),44369)</f>
        <v>44369</v>
      </c>
      <c r="C169" s="0" t="n">
        <f aca="false">IFERROR(__xludf.dummyfunction("""COMPUTED_VALUE"""),4)</f>
        <v>4</v>
      </c>
      <c r="D169" s="0" t="str">
        <f aca="false">IFERROR(__xludf.dummyfunction("""COMPUTED_VALUE"""),"SICI201803-5-2| Se notificará al área de caja menor la necesidad de la gestión de forma inmediata de los medicamentos y dispositivos en menos de 24 horas. - 30/12/1899")</f>
        <v>SICI201803-5-2| Se notificará al área de caja menor la necesidad de la gestión de forma inmediata de los medicamentos y dispositivos en menos de 24 horas. - 30/12/1899</v>
      </c>
      <c r="E169" s="0" t="str">
        <f aca="false">IFERROR(__xludf.dummyfunction("""COMPUTED_VALUE"""),"Esta completa desde seguimiento anterior")</f>
        <v>Esta completa desde seguimiento anterior</v>
      </c>
      <c r="F169" s="0" t="str">
        <f aca="false">IFERROR(__xludf.dummyfunction("""COMPUTED_VALUE"""),"Completo")</f>
        <v>Completo</v>
      </c>
    </row>
    <row r="170" customFormat="false" ht="14.25" hidden="false" customHeight="false" outlineLevel="0" collapsed="false">
      <c r="A170" s="18" t="str">
        <f aca="false">IFERROR(MID(D170,1,FIND("|",D170)-1)&amp;"-"&amp;C170,"")</f>
        <v>SICI201803-6-1-4</v>
      </c>
      <c r="B170" s="19" t="n">
        <f aca="false">IFERROR(__xludf.dummyfunction("""COMPUTED_VALUE"""),44369)</f>
        <v>44369</v>
      </c>
      <c r="C170" s="0" t="n">
        <f aca="false">IFERROR(__xludf.dummyfunction("""COMPUTED_VALUE"""),4)</f>
        <v>4</v>
      </c>
      <c r="D170" s="0" t="str">
        <f aca="false">IFERROR(__xludf.dummyfunction("""COMPUTED_VALUE"""),"SICI201803-6-1| Se notificara al área de Supervisión de contratos la necesidad de la dispensación de forma completa y oportuna del pedido de 45 dias con el fin de minimizar faltantes y pendientes. - 30/04/2019")</f>
        <v>SICI201803-6-1| Se notificara al área de Supervisión de contratos la necesidad de la dispensación de forma completa y oportuna del pedido de 45 dias con el fin de minimizar faltantes y pendientes. - 30/04/2019</v>
      </c>
      <c r="E170" s="0" t="str">
        <f aca="false">IFERROR(__xludf.dummyfunction("""COMPUTED_VALUE"""),"Esta completa desde seguimiento anterior")</f>
        <v>Esta completa desde seguimiento anterior</v>
      </c>
      <c r="F170" s="0" t="str">
        <f aca="false">IFERROR(__xludf.dummyfunction("""COMPUTED_VALUE"""),"Completo")</f>
        <v>Completo</v>
      </c>
    </row>
    <row r="171" customFormat="false" ht="14.25" hidden="false" customHeight="false" outlineLevel="0" collapsed="false">
      <c r="A171" s="18" t="str">
        <f aca="false">IFERROR(MID(D171,1,FIND("|",D171)-1)&amp;"-"&amp;C171,"")</f>
        <v>SICI201803-6-2-4</v>
      </c>
      <c r="B171" s="19" t="n">
        <f aca="false">IFERROR(__xludf.dummyfunction("""COMPUTED_VALUE"""),44369)</f>
        <v>44369</v>
      </c>
      <c r="C171" s="0" t="n">
        <f aca="false">IFERROR(__xludf.dummyfunction("""COMPUTED_VALUE"""),4)</f>
        <v>4</v>
      </c>
      <c r="D171" s="0" t="str">
        <f aca="false">IFERROR(__xludf.dummyfunction("""COMPUTED_VALUE"""),"SICI201803-6-2| Se notificará al área de Caja Menor la necesidad de la gestión de forma inmediata de los medicamentos y dispositivos. (En menos de 24 horas). - 30/12/1899")</f>
        <v>SICI201803-6-2| Se notificará al área de Caja Menor la necesidad de la gestión de forma inmediata de los medicamentos y dispositivos. (En menos de 24 horas). - 30/12/1899</v>
      </c>
      <c r="E171" s="0" t="str">
        <f aca="false">IFERROR(__xludf.dummyfunction("""COMPUTED_VALUE"""),"Esta completa desde seguimiento anterior")</f>
        <v>Esta completa desde seguimiento anterior</v>
      </c>
      <c r="F171" s="0" t="str">
        <f aca="false">IFERROR(__xludf.dummyfunction("""COMPUTED_VALUE"""),"Completo")</f>
        <v>Completo</v>
      </c>
    </row>
    <row r="172" customFormat="false" ht="14.25" hidden="false" customHeight="false" outlineLevel="0" collapsed="false">
      <c r="A172" s="18" t="str">
        <f aca="false">IFERROR(MID(D172,1,FIND("|",D172)-1)&amp;"-"&amp;C172,"")</f>
        <v>SICI201803-7-1-4</v>
      </c>
      <c r="B172" s="19" t="n">
        <f aca="false">IFERROR(__xludf.dummyfunction("""COMPUTED_VALUE"""),44369)</f>
        <v>44369</v>
      </c>
      <c r="C172" s="0" t="n">
        <f aca="false">IFERROR(__xludf.dummyfunction("""COMPUTED_VALUE"""),4)</f>
        <v>4</v>
      </c>
      <c r="D172" s="0" t="str">
        <f aca="false">IFERROR(__xludf.dummyfunction("""COMPUTED_VALUE"""),"SICI201803-7-1| Se notificará al área de Facturación la problemática referente a la facturación de medicamentos que no son entregados. El proceso adecuado es facturar lo entregado. - 30/04/2019")</f>
        <v>SICI201803-7-1| Se notificará al área de Facturación la problemática referente a la facturación de medicamentos que no son entregados. El proceso adecuado es facturar lo entregado. - 30/04/2019</v>
      </c>
      <c r="E172" s="0" t="str">
        <f aca="false">IFERROR(__xludf.dummyfunction("""COMPUTED_VALUE"""),"Esta completa desde seguimiento anterior")</f>
        <v>Esta completa desde seguimiento anterior</v>
      </c>
      <c r="F172" s="0" t="str">
        <f aca="false">IFERROR(__xludf.dummyfunction("""COMPUTED_VALUE"""),"Completo")</f>
        <v>Completo</v>
      </c>
    </row>
    <row r="173" customFormat="false" ht="14.25" hidden="false" customHeight="false" outlineLevel="0" collapsed="false">
      <c r="A173" s="18" t="str">
        <f aca="false">IFERROR(MID(D173,1,FIND("|",D173)-1)&amp;"-"&amp;C173,"")</f>
        <v>SICI201803-7-2-4</v>
      </c>
      <c r="B173" s="19" t="n">
        <f aca="false">IFERROR(__xludf.dummyfunction("""COMPUTED_VALUE"""),44369)</f>
        <v>44369</v>
      </c>
      <c r="C173" s="0" t="n">
        <f aca="false">IFERROR(__xludf.dummyfunction("""COMPUTED_VALUE"""),4)</f>
        <v>4</v>
      </c>
      <c r="D173" s="0" t="str">
        <f aca="false">IFERROR(__xludf.dummyfunction("""COMPUTED_VALUE"""),"SICI201803-7-2| Se solicitará al área de facturación instructivo para el manejo del cobro directo y que no se vea afectado el paciente. - 30/12/1899")</f>
        <v>SICI201803-7-2| Se solicitará al área de facturación instructivo para el manejo del cobro directo y que no se vea afectado el paciente. - 30/12/1899</v>
      </c>
      <c r="E173" s="0" t="str">
        <f aca="false">IFERROR(__xludf.dummyfunction("""COMPUTED_VALUE"""),"Esta completa desde seguimiento anterior")</f>
        <v>Esta completa desde seguimiento anterior</v>
      </c>
      <c r="F173" s="0" t="str">
        <f aca="false">IFERROR(__xludf.dummyfunction("""COMPUTED_VALUE"""),"Completo")</f>
        <v>Completo</v>
      </c>
    </row>
    <row r="174" customFormat="false" ht="14.25" hidden="false" customHeight="false" outlineLevel="0" collapsed="false">
      <c r="A174" s="18" t="str">
        <f aca="false">IFERROR(MID(D174,1,FIND("|",D174)-1)&amp;"-"&amp;C174,"")</f>
        <v>SICI201803-8-1-4</v>
      </c>
      <c r="B174" s="19" t="n">
        <f aca="false">IFERROR(__xludf.dummyfunction("""COMPUTED_VALUE"""),44369)</f>
        <v>44369</v>
      </c>
      <c r="C174" s="0" t="n">
        <f aca="false">IFERROR(__xludf.dummyfunction("""COMPUTED_VALUE"""),4)</f>
        <v>4</v>
      </c>
      <c r="D174" s="0" t="str">
        <f aca="false">IFERROR(__xludf.dummyfunction("""COMPUTED_VALUE"""),"SICI201803-8-1| Se generará instrumento (formato) en el cual se puedan registrar los movimientos generados en cada sede y se refllejen los préstamos con sus respectivos traslados y responsables de dicha actividad. - 01/05/2019")</f>
        <v>SICI201803-8-1| Se generará instrumento (formato) en el cual se puedan registrar los movimientos generados en cada sede y se refllejen los préstamos con sus respectivos traslados y responsables de dicha actividad. - 01/05/2019</v>
      </c>
      <c r="E174" s="0" t="str">
        <f aca="false">IFERROR(__xludf.dummyfunction("""COMPUTED_VALUE"""),"Esta completa desde seguimiento anterior")</f>
        <v>Esta completa desde seguimiento anterior</v>
      </c>
      <c r="F174" s="0" t="str">
        <f aca="false">IFERROR(__xludf.dummyfunction("""COMPUTED_VALUE"""),"Completo")</f>
        <v>Completo</v>
      </c>
    </row>
    <row r="175" customFormat="false" ht="14.25" hidden="false" customHeight="false" outlineLevel="0" collapsed="false">
      <c r="A175" s="18" t="str">
        <f aca="false">IFERROR(MID(D175,1,FIND("|",D175)-1)&amp;"-"&amp;C175,"")</f>
        <v>SICI201803-13-1-4</v>
      </c>
      <c r="B175" s="19" t="n">
        <f aca="false">IFERROR(__xludf.dummyfunction("""COMPUTED_VALUE"""),44369)</f>
        <v>44369</v>
      </c>
      <c r="C175" s="0" t="n">
        <f aca="false">IFERROR(__xludf.dummyfunction("""COMPUTED_VALUE"""),4)</f>
        <v>4</v>
      </c>
      <c r="D175" s="0" t="str">
        <f aca="false">IFERROR(__xludf.dummyfunction("""COMPUTED_VALUE"""),"SICI201803-13-1| El servicio farmacéutico notificará al área de contingencia de facturación las caídas constantes de sistema vía correo electrónico y whatsapp. - 31/05/2019")</f>
        <v>SICI201803-13-1| El servicio farmacéutico notificará al área de contingencia de facturación las caídas constantes de sistema vía correo electrónico y whatsapp. - 31/05/2019</v>
      </c>
      <c r="E175" s="0" t="str">
        <f aca="false">IFERROR(__xludf.dummyfunction("""COMPUTED_VALUE"""),"Esta completa desde seguimiento anterior")</f>
        <v>Esta completa desde seguimiento anterior</v>
      </c>
      <c r="F175" s="0" t="str">
        <f aca="false">IFERROR(__xludf.dummyfunction("""COMPUTED_VALUE"""),"Completo")</f>
        <v>Completo</v>
      </c>
    </row>
    <row r="176" customFormat="false" ht="14.25" hidden="false" customHeight="false" outlineLevel="0" collapsed="false">
      <c r="A176" s="18" t="str">
        <f aca="false">IFERROR(MID(D176,1,FIND("|",D176)-1)&amp;"-"&amp;C176,"")</f>
        <v>SICI201803-13-2-4</v>
      </c>
      <c r="B176" s="19" t="n">
        <f aca="false">IFERROR(__xludf.dummyfunction("""COMPUTED_VALUE"""),44369)</f>
        <v>44369</v>
      </c>
      <c r="C176" s="0" t="n">
        <f aca="false">IFERROR(__xludf.dummyfunction("""COMPUTED_VALUE"""),4)</f>
        <v>4</v>
      </c>
      <c r="D176" s="0" t="str">
        <f aca="false">IFERROR(__xludf.dummyfunction("""COMPUTED_VALUE"""),"SICI201803-13-2| El Servicio farmacéutico notificará al área de facturación y/o admisiones cuando se requiera de apertura de cuentas con el fin de realizar el cargue respectivo o informar sobre novedades de pacientes. Así mimo se solicitará a éstas áreas "&amp;"que las cuentas sean abiertas de forma oportuna (menos de 24 horas) - 30/12/1899")</f>
        <v>SICI201803-13-2| El Servicio farmacéutico notificará al área de facturación y/o admisiones cuando se requiera de apertura de cuentas con el fin de realizar el cargue respectivo o informar sobre novedades de pacientes. Así mimo se solicitará a éstas áreas que las cuentas sean abiertas de forma oportuna (menos de 24 horas) - 30/12/1899</v>
      </c>
      <c r="E176" s="0" t="str">
        <f aca="false">IFERROR(__xludf.dummyfunction("""COMPUTED_VALUE"""),"Esta completa desde seguimiento anterior")</f>
        <v>Esta completa desde seguimiento anterior</v>
      </c>
      <c r="F176" s="0" t="str">
        <f aca="false">IFERROR(__xludf.dummyfunction("""COMPUTED_VALUE"""),"Completo")</f>
        <v>Completo</v>
      </c>
    </row>
    <row r="177" customFormat="false" ht="14.25" hidden="false" customHeight="false" outlineLevel="0" collapsed="false">
      <c r="A177" s="18" t="str">
        <f aca="false">IFERROR(MID(D177,1,FIND("|",D177)-1)&amp;"-"&amp;C177,"")</f>
        <v>SICI201803-13-3-4</v>
      </c>
      <c r="B177" s="19" t="n">
        <f aca="false">IFERROR(__xludf.dummyfunction("""COMPUTED_VALUE"""),44369)</f>
        <v>44369</v>
      </c>
      <c r="C177" s="0" t="n">
        <f aca="false">IFERROR(__xludf.dummyfunction("""COMPUTED_VALUE"""),4)</f>
        <v>4</v>
      </c>
      <c r="D177" s="0" t="str">
        <f aca="false">IFERROR(__xludf.dummyfunction("""COMPUTED_VALUE"""),"SICI201803-13-3| El Servicio farmacéutico notificará al área de suministros (almacenes) acerca de la necesidad de ajustar sus procesos para evitar valores negativos que impidan el cargue en el sistema. - 30/12/1899")</f>
        <v>SICI201803-13-3| El Servicio farmacéutico notificará al área de suministros (almacenes) acerca de la necesidad de ajustar sus procesos para evitar valores negativos que impidan el cargue en el sistema. - 30/12/1899</v>
      </c>
      <c r="E177" s="0" t="str">
        <f aca="false">IFERROR(__xludf.dummyfunction("""COMPUTED_VALUE"""),"Esta completa desde seguimiento anterior")</f>
        <v>Esta completa desde seguimiento anterior</v>
      </c>
      <c r="F177" s="0" t="str">
        <f aca="false">IFERROR(__xludf.dummyfunction("""COMPUTED_VALUE"""),"Completo")</f>
        <v>Completo</v>
      </c>
    </row>
    <row r="178" customFormat="false" ht="14.25" hidden="false" customHeight="false" outlineLevel="0" collapsed="false">
      <c r="A178" s="18" t="str">
        <f aca="false">IFERROR(MID(D178,1,FIND("|",D178)-1)&amp;"-"&amp;C178,"")</f>
        <v>SICI201803-13-4-4</v>
      </c>
      <c r="B178" s="19" t="n">
        <f aca="false">IFERROR(__xludf.dummyfunction("""COMPUTED_VALUE"""),44369)</f>
        <v>44369</v>
      </c>
      <c r="C178" s="0" t="n">
        <f aca="false">IFERROR(__xludf.dummyfunction("""COMPUTED_VALUE"""),4)</f>
        <v>4</v>
      </c>
      <c r="D178" s="0" t="str">
        <f aca="false">IFERROR(__xludf.dummyfunction("""COMPUTED_VALUE"""),"SICI201803-13-4| Se solicitará al área de suministros (almacenes) ajustar el proceso de traslado de medicamentos y/o insumos a la farmacia indicando que es necesario que lo que sea cargado en el sistema por parte de los almacénes debe ser entregado oportu"&amp;"namente a las farmacias para que los saldos físicos coincidan con los saldos en sistema. - 30/12/1899")</f>
        <v>SICI201803-13-4| Se solicitará al área de suministros (almacenes) ajustar el proceso de traslado de medicamentos y/o insumos a la farmacia indicando que es necesario que lo que sea cargado en el sistema por parte de los almacénes debe ser entregado oportunamente a las farmacias para que los saldos físicos coincidan con los saldos en sistema. - 30/12/1899</v>
      </c>
      <c r="E178" s="0" t="str">
        <f aca="false">IFERROR(__xludf.dummyfunction("""COMPUTED_VALUE"""),"Esta completa desde seguimiento anterior")</f>
        <v>Esta completa desde seguimiento anterior</v>
      </c>
      <c r="F178" s="0" t="str">
        <f aca="false">IFERROR(__xludf.dummyfunction("""COMPUTED_VALUE"""),"Completo")</f>
        <v>Completo</v>
      </c>
    </row>
    <row r="179" customFormat="false" ht="14.25" hidden="false" customHeight="false" outlineLevel="0" collapsed="false">
      <c r="A179" s="18" t="str">
        <f aca="false">IFERROR(MID(D179,1,FIND("|",D179)-1)&amp;"-"&amp;C179,"")</f>
        <v>SICI201803-13-5-4</v>
      </c>
      <c r="B179" s="19" t="n">
        <f aca="false">IFERROR(__xludf.dummyfunction("""COMPUTED_VALUE"""),44369)</f>
        <v>44369</v>
      </c>
      <c r="C179" s="0" t="n">
        <f aca="false">IFERROR(__xludf.dummyfunction("""COMPUTED_VALUE"""),4)</f>
        <v>4</v>
      </c>
      <c r="D179" s="0" t="str">
        <f aca="false">IFERROR(__xludf.dummyfunction("""COMPUTED_VALUE"""),"SICI201803-13-5| Se notificará al personal asistencial que el servicio farmacéutico no entregará medicamentos y/o insumos sin que se allegue la respectiva prescripción médica en cumplimiento con la normatividad vigente a menos que previamente se haya agot"&amp;"ado la opción del uso del carro de paro y que se trate de un medicamento o insumo para tratar un caso de urgencia vital. Lo anterior de acuerdo a decisión tomada en Comité de Farmacia y Terapéutica de Enero de 2019. - 30/12/1899")</f>
        <v>SICI201803-13-5| Se notificará al personal asistencial que el servicio farmacéutico no entregará medicamentos y/o insumos sin que se allegue la respectiva prescripción médica en cumplimiento con la normatividad vigente a menos que previamente se haya agotado la opción del uso del carro de paro y que se trate de un medicamento o insumo para tratar un caso de urgencia vital. Lo anterior de acuerdo a decisión tomada en Comité de Farmacia y Terapéutica de Enero de 2019. - 30/12/1899</v>
      </c>
      <c r="E179" s="0" t="str">
        <f aca="false">IFERROR(__xludf.dummyfunction("""COMPUTED_VALUE"""),"Esta completa desde seguimiento anterior")</f>
        <v>Esta completa desde seguimiento anterior</v>
      </c>
      <c r="F179" s="0" t="str">
        <f aca="false">IFERROR(__xludf.dummyfunction("""COMPUTED_VALUE"""),"Completo")</f>
        <v>Completo</v>
      </c>
    </row>
    <row r="180" customFormat="false" ht="14.25" hidden="false" customHeight="false" outlineLevel="0" collapsed="false">
      <c r="A180" s="18" t="str">
        <f aca="false">IFERROR(MID(D180,1,FIND("|",D180)-1)&amp;"-"&amp;C180,"")</f>
        <v>SICI201803-13-6-4</v>
      </c>
      <c r="B180" s="19" t="n">
        <f aca="false">IFERROR(__xludf.dummyfunction("""COMPUTED_VALUE"""),44369)</f>
        <v>44369</v>
      </c>
      <c r="C180" s="0" t="n">
        <f aca="false">IFERROR(__xludf.dummyfunction("""COMPUTED_VALUE"""),4)</f>
        <v>4</v>
      </c>
      <c r="D180" s="0" t="str">
        <f aca="false">IFERROR(__xludf.dummyfunction("""COMPUTED_VALUE"""),"SICI201803-13-6| Se solicitará al área encargada el recurso humano faltante en cada una de las Unidades de la subred. - 30/12/1899")</f>
        <v>SICI201803-13-6| Se solicitará al área encargada el recurso humano faltante en cada una de las Unidades de la subred. - 30/12/1899</v>
      </c>
      <c r="E180" s="0" t="str">
        <f aca="false">IFERROR(__xludf.dummyfunction("""COMPUTED_VALUE"""),"Esta completa desde seguimiento anterior")</f>
        <v>Esta completa desde seguimiento anterior</v>
      </c>
      <c r="F180" s="0" t="str">
        <f aca="false">IFERROR(__xludf.dummyfunction("""COMPUTED_VALUE"""),"Completo")</f>
        <v>Completo</v>
      </c>
    </row>
    <row r="181" customFormat="false" ht="14.25" hidden="false" customHeight="false" outlineLevel="0" collapsed="false">
      <c r="A181" s="18" t="str">
        <f aca="false">IFERROR(MID(D181,1,FIND("|",D181)-1)&amp;"-"&amp;C181,"")</f>
        <v>SICI201803-13-7-4</v>
      </c>
      <c r="B181" s="19" t="n">
        <f aca="false">IFERROR(__xludf.dummyfunction("""COMPUTED_VALUE"""),44369)</f>
        <v>44369</v>
      </c>
      <c r="C181" s="0" t="n">
        <f aca="false">IFERROR(__xludf.dummyfunction("""COMPUTED_VALUE"""),4)</f>
        <v>4</v>
      </c>
      <c r="D181" s="0" t="str">
        <f aca="false">IFERROR(__xludf.dummyfunction("""COMPUTED_VALUE"""),"SICI201803-13-7| Se Solicitará al área de suministros (almacenes) la indicacion para los casos en los cuales se pueda implementar el Concepto 105. - 30/12/1899")</f>
        <v>SICI201803-13-7| Se Solicitará al área de suministros (almacenes) la indicacion para los casos en los cuales se pueda implementar el Concepto 105. - 30/12/1899</v>
      </c>
      <c r="E181" s="0" t="str">
        <f aca="false">IFERROR(__xludf.dummyfunction("""COMPUTED_VALUE"""),"Esta completa desde seguimiento anterior")</f>
        <v>Esta completa desde seguimiento anterior</v>
      </c>
      <c r="F181" s="0" t="str">
        <f aca="false">IFERROR(__xludf.dummyfunction("""COMPUTED_VALUE"""),"Completo")</f>
        <v>Completo</v>
      </c>
    </row>
    <row r="182" customFormat="false" ht="14.25" hidden="false" customHeight="false" outlineLevel="0" collapsed="false">
      <c r="A182" s="18" t="str">
        <f aca="false">IFERROR(MID(D182,1,FIND("|",D182)-1)&amp;"-"&amp;C182,"")</f>
        <v>SICI201803-14-1-4</v>
      </c>
      <c r="B182" s="19" t="n">
        <f aca="false">IFERROR(__xludf.dummyfunction("""COMPUTED_VALUE"""),44369)</f>
        <v>44369</v>
      </c>
      <c r="C182" s="0" t="n">
        <f aca="false">IFERROR(__xludf.dummyfunction("""COMPUTED_VALUE"""),4)</f>
        <v>4</v>
      </c>
      <c r="D182" s="0" t="str">
        <f aca="false">IFERROR(__xludf.dummyfunction("""COMPUTED_VALUE"""),"SICI201803-14-1| Se generará una lista de chequeo para verificar periodicamente (cada 4 meses): a) el cumplimiento de la calibracion y/o mantenimiento de los instrumentos de medicion encontrados en el servicio farmaceutico, b) señalizacion adecuada de la "&amp;"areas de la farmacia y rutas de evacuación. - 31/05/2019")</f>
        <v>SICI201803-14-1| Se generará una lista de chequeo para verificar periodicamente (cada 4 meses): a) el cumplimiento de la calibracion y/o mantenimiento de los instrumentos de medicion encontrados en el servicio farmaceutico, b) señalizacion adecuada de la areas de la farmacia y rutas de evacuación. - 31/05/2019</v>
      </c>
      <c r="E182" s="0" t="str">
        <f aca="false">IFERROR(__xludf.dummyfunction("""COMPUTED_VALUE"""),"Esta completa desde seguimiento anterior")</f>
        <v>Esta completa desde seguimiento anterior</v>
      </c>
      <c r="F182" s="0" t="str">
        <f aca="false">IFERROR(__xludf.dummyfunction("""COMPUTED_VALUE"""),"Completo")</f>
        <v>Completo</v>
      </c>
    </row>
    <row r="183" customFormat="false" ht="14.25" hidden="false" customHeight="false" outlineLevel="0" collapsed="false">
      <c r="A183" s="18" t="str">
        <f aca="false">IFERROR(MID(D183,1,FIND("|",D183)-1)&amp;"-"&amp;C183,"")</f>
        <v>SICI201803-15-1-4</v>
      </c>
      <c r="B183" s="19" t="n">
        <f aca="false">IFERROR(__xludf.dummyfunction("""COMPUTED_VALUE"""),44369)</f>
        <v>44369</v>
      </c>
      <c r="C183" s="0" t="n">
        <f aca="false">IFERROR(__xludf.dummyfunction("""COMPUTED_VALUE"""),4)</f>
        <v>4</v>
      </c>
      <c r="D183" s="0" t="str">
        <f aca="false">IFERROR(__xludf.dummyfunction("""COMPUTED_VALUE"""),"SICI201803-15-1| Se actualizarán instrutivos de control de fechas de vencimientos y manejo de carro de paro y equipo de reanimacion; estandarizando el proceso de semaforización de acuerdo al manual de buenas practicas de almacenamiento de la subred. - 31/"&amp;"08/2019")</f>
        <v>SICI201803-15-1| Se actualizarán instrutivos de control de fechas de vencimientos y manejo de carro de paro y equipo de reanimacion; estandarizando el proceso de semaforización de acuerdo al manual de buenas practicas de almacenamiento de la subred. - 31/08/2019</v>
      </c>
      <c r="E183" s="0" t="str">
        <f aca="false">IFERROR(__xludf.dummyfunction("""COMPUTED_VALUE"""),"Esta completa desde seguimiento anterior")</f>
        <v>Esta completa desde seguimiento anterior</v>
      </c>
      <c r="F183" s="0" t="str">
        <f aca="false">IFERROR(__xludf.dummyfunction("""COMPUTED_VALUE"""),"Completo")</f>
        <v>Completo</v>
      </c>
    </row>
    <row r="184" customFormat="false" ht="14.25" hidden="false" customHeight="false" outlineLevel="0" collapsed="false">
      <c r="A184" s="18" t="str">
        <f aca="false">IFERROR(MID(D184,1,FIND("|",D184)-1)&amp;"-"&amp;C184,"")</f>
        <v>SICI201803-15-2-4</v>
      </c>
      <c r="B184" s="19" t="n">
        <f aca="false">IFERROR(__xludf.dummyfunction("""COMPUTED_VALUE"""),44369)</f>
        <v>44369</v>
      </c>
      <c r="C184" s="0" t="n">
        <f aca="false">IFERROR(__xludf.dummyfunction("""COMPUTED_VALUE"""),4)</f>
        <v>4</v>
      </c>
      <c r="D184" s="0" t="str">
        <f aca="false">IFERROR(__xludf.dummyfunction("""COMPUTED_VALUE"""),"SICI201803-15-2| Se señalizará un área específica para ubicar los medicamentos y/o dispositivos medicos vencidos en dónde los mismos se almacenarán en una bolsa roja rotulada como ""RESIDUOS QUIMICOS"" mientras se realiza el respectivo comité de inventari"&amp;"os para la disposición final de los mismos por parte de gestión ambiental. - 30/12/1899")</f>
        <v>SICI201803-15-2| Se señalizará un área específica para ubicar los medicamentos y/o dispositivos medicos vencidos en dónde los mismos se almacenarán en una bolsa roja rotulada como "RESIDUOS QUIMICOS" mientras se realiza el respectivo comité de inventarios para la disposición final de los mismos por parte de gestión ambiental. - 30/12/1899</v>
      </c>
      <c r="E184" s="0" t="str">
        <f aca="false">IFERROR(__xludf.dummyfunction("""COMPUTED_VALUE"""),"Esta completa desde seguimiento anterior")</f>
        <v>Esta completa desde seguimiento anterior</v>
      </c>
      <c r="F184" s="0" t="str">
        <f aca="false">IFERROR(__xludf.dummyfunction("""COMPUTED_VALUE"""),"Completo")</f>
        <v>Completo</v>
      </c>
    </row>
    <row r="185" customFormat="false" ht="14.25" hidden="false" customHeight="false" outlineLevel="0" collapsed="false">
      <c r="A185" s="18" t="str">
        <f aca="false">IFERROR(MID(D185,1,FIND("|",D185)-1)&amp;"-"&amp;C185,"")</f>
        <v>SICI201803-15-3-4</v>
      </c>
      <c r="B185" s="19" t="n">
        <f aca="false">IFERROR(__xludf.dummyfunction("""COMPUTED_VALUE"""),44369)</f>
        <v>44369</v>
      </c>
      <c r="C185" s="0" t="n">
        <f aca="false">IFERROR(__xludf.dummyfunction("""COMPUTED_VALUE"""),4)</f>
        <v>4</v>
      </c>
      <c r="D185" s="0" t="str">
        <f aca="false">IFERROR(__xludf.dummyfunction("""COMPUTED_VALUE"""),"SICI201803-15-3| Se implementará instrumento mediante el cual el personal asistencial relacionará los medicamentos y/o insumos que requieran devolver al servicio farmacéutico por novedades como: próximos a vencer de carros de paro, sobrantes, entre otros."&amp;" - 30/12/1899")</f>
        <v>SICI201803-15-3| Se implementará instrumento mediante el cual el personal asistencial relacionará los medicamentos y/o insumos que requieran devolver al servicio farmacéutico por novedades como: próximos a vencer de carros de paro, sobrantes, entre otros. - 30/12/1899</v>
      </c>
      <c r="E185" s="0" t="str">
        <f aca="false">IFERROR(__xludf.dummyfunction("""COMPUTED_VALUE"""),"Esta completa desde seguimiento anterior")</f>
        <v>Esta completa desde seguimiento anterior</v>
      </c>
      <c r="F185" s="0" t="str">
        <f aca="false">IFERROR(__xludf.dummyfunction("""COMPUTED_VALUE"""),"Completo")</f>
        <v>Completo</v>
      </c>
    </row>
    <row r="186" customFormat="false" ht="14.25" hidden="false" customHeight="false" outlineLevel="0" collapsed="false">
      <c r="A186" s="18" t="str">
        <f aca="false">IFERROR(MID(D186,1,FIND("|",D186)-1)&amp;"-"&amp;C186,"")</f>
        <v>SICI201803-15-4-4</v>
      </c>
      <c r="B186" s="19" t="n">
        <f aca="false">IFERROR(__xludf.dummyfunction("""COMPUTED_VALUE"""),44369)</f>
        <v>44369</v>
      </c>
      <c r="C186" s="0" t="n">
        <f aca="false">IFERROR(__xludf.dummyfunction("""COMPUTED_VALUE"""),4)</f>
        <v>4</v>
      </c>
      <c r="D186" s="0" t="str">
        <f aca="false">IFERROR(__xludf.dummyfunction("""COMPUTED_VALUE"""),"SICI201803-15-4| Se solicitará al área de suministros (almacenes) los sticker de color rojo necesarios para la semaforización (FV inferior a 6 meses). - 30/12/1899")</f>
        <v>SICI201803-15-4| Se solicitará al área de suministros (almacenes) los sticker de color rojo necesarios para la semaforización (FV inferior a 6 meses). - 30/12/1899</v>
      </c>
      <c r="E186" s="0" t="str">
        <f aca="false">IFERROR(__xludf.dummyfunction("""COMPUTED_VALUE"""),"Esta completa desde seguimiento anterior")</f>
        <v>Esta completa desde seguimiento anterior</v>
      </c>
      <c r="F186" s="0" t="str">
        <f aca="false">IFERROR(__xludf.dummyfunction("""COMPUTED_VALUE"""),"Completo")</f>
        <v>Completo</v>
      </c>
    </row>
    <row r="187" customFormat="false" ht="14.25" hidden="false" customHeight="false" outlineLevel="0" collapsed="false">
      <c r="A187" s="18" t="str">
        <f aca="false">IFERROR(MID(D187,1,FIND("|",D187)-1)&amp;"-"&amp;C187,"")</f>
        <v>SICI201803-15-5-4</v>
      </c>
      <c r="B187" s="19" t="n">
        <f aca="false">IFERROR(__xludf.dummyfunction("""COMPUTED_VALUE"""),44369)</f>
        <v>44369</v>
      </c>
      <c r="C187" s="0" t="n">
        <f aca="false">IFERROR(__xludf.dummyfunction("""COMPUTED_VALUE"""),4)</f>
        <v>4</v>
      </c>
      <c r="D187" s="0" t="str">
        <f aca="false">IFERROR(__xludf.dummyfunction("""COMPUTED_VALUE"""),"SICI201803-15-5| Se generará una lista de chequeo para verificar periodicamente (cada 4 meses) el cumplimiento de la calibración de los termohigrómetros y registros actualizados de temperatura y humedad. - 30/12/1899")</f>
        <v>SICI201803-15-5| Se generará una lista de chequeo para verificar periodicamente (cada 4 meses) el cumplimiento de la calibración de los termohigrómetros y registros actualizados de temperatura y humedad. - 30/12/1899</v>
      </c>
      <c r="E187" s="0" t="str">
        <f aca="false">IFERROR(__xludf.dummyfunction("""COMPUTED_VALUE"""),"Esta completa desde seguimiento anterior")</f>
        <v>Esta completa desde seguimiento anterior</v>
      </c>
      <c r="F187" s="0" t="str">
        <f aca="false">IFERROR(__xludf.dummyfunction("""COMPUTED_VALUE"""),"Completo")</f>
        <v>Completo</v>
      </c>
    </row>
    <row r="188" customFormat="false" ht="14.25" hidden="false" customHeight="false" outlineLevel="0" collapsed="false">
      <c r="A188" s="18" t="str">
        <f aca="false">IFERROR(MID(D188,1,FIND("|",D188)-1)&amp;"-"&amp;C188,"")</f>
        <v>SICI201803-16-1-4</v>
      </c>
      <c r="B188" s="19" t="n">
        <f aca="false">IFERROR(__xludf.dummyfunction("""COMPUTED_VALUE"""),44369)</f>
        <v>44369</v>
      </c>
      <c r="C188" s="0" t="n">
        <f aca="false">IFERROR(__xludf.dummyfunction("""COMPUTED_VALUE"""),4)</f>
        <v>4</v>
      </c>
      <c r="D188" s="0" t="str">
        <f aca="false">IFERROR(__xludf.dummyfunction("""COMPUTED_VALUE"""),"SICI201803-16-1| Se generará una lista de chequeo para verificar periodicamente (cada 4 meses) el cumplimiento de la calibración de los termohigrómetros. - 30/06/2019")</f>
        <v>SICI201803-16-1| Se generará una lista de chequeo para verificar periodicamente (cada 4 meses) el cumplimiento de la calibración de los termohigrómetros. - 30/06/2019</v>
      </c>
      <c r="E188" s="0" t="str">
        <f aca="false">IFERROR(__xludf.dummyfunction("""COMPUTED_VALUE"""),"Esta completa desde seguimiento anterior")</f>
        <v>Esta completa desde seguimiento anterior</v>
      </c>
      <c r="F188" s="0" t="str">
        <f aca="false">IFERROR(__xludf.dummyfunction("""COMPUTED_VALUE"""),"Completo")</f>
        <v>Completo</v>
      </c>
    </row>
    <row r="189" customFormat="false" ht="14.25" hidden="false" customHeight="false" outlineLevel="0" collapsed="false">
      <c r="A189" s="18" t="str">
        <f aca="false">IFERROR(MID(D189,1,FIND("|",D189)-1)&amp;"-"&amp;C189,"")</f>
        <v>SICI201803-16-2-4</v>
      </c>
      <c r="B189" s="19" t="n">
        <f aca="false">IFERROR(__xludf.dummyfunction("""COMPUTED_VALUE"""),44369)</f>
        <v>44369</v>
      </c>
      <c r="C189" s="0" t="n">
        <f aca="false">IFERROR(__xludf.dummyfunction("""COMPUTED_VALUE"""),4)</f>
        <v>4</v>
      </c>
      <c r="D189" s="0" t="str">
        <f aca="false">IFERROR(__xludf.dummyfunction("""COMPUTED_VALUE"""),"SICI201803-16-2| Se socializará al personal del Servicio Farmaceutico el cronograma actualizado de aseo y desinfeccion en las áreas de la farmacia se realizará seguimiento del cumplimiento del mismo (periodicidad :tramos:semanal,neveras: mensual). - 30/12"&amp;"/1899")</f>
        <v>SICI201803-16-2| Se socializará al personal del Servicio Farmaceutico el cronograma actualizado de aseo y desinfeccion en las áreas de la farmacia se realizará seguimiento del cumplimiento del mismo (periodicidad :tramos:semanal,neveras: mensual). - 30/12/1899</v>
      </c>
      <c r="E189" s="0" t="str">
        <f aca="false">IFERROR(__xludf.dummyfunction("""COMPUTED_VALUE"""),"Esta completa desde seguimiento anterior")</f>
        <v>Esta completa desde seguimiento anterior</v>
      </c>
      <c r="F189" s="0" t="str">
        <f aca="false">IFERROR(__xludf.dummyfunction("""COMPUTED_VALUE"""),"Completo")</f>
        <v>Completo</v>
      </c>
    </row>
    <row r="190" customFormat="false" ht="14.25" hidden="false" customHeight="false" outlineLevel="0" collapsed="false">
      <c r="A190" s="18" t="str">
        <f aca="false">IFERROR(MID(D190,1,FIND("|",D190)-1)&amp;"-"&amp;C190,"")</f>
        <v>SICI201803-16-3-4</v>
      </c>
      <c r="B190" s="19" t="n">
        <f aca="false">IFERROR(__xludf.dummyfunction("""COMPUTED_VALUE"""),44369)</f>
        <v>44369</v>
      </c>
      <c r="C190" s="0" t="n">
        <f aca="false">IFERROR(__xludf.dummyfunction("""COMPUTED_VALUE"""),4)</f>
        <v>4</v>
      </c>
      <c r="D190" s="0" t="str">
        <f aca="false">IFERROR(__xludf.dummyfunction("""COMPUTED_VALUE"""),"SICI201803-16-3| Se socializará el plan de gestión integral de residuos hospitalarios (AP-AT-O-01-03) y se realizará segumiento de su cumplimiento. - 30/12/1899")</f>
        <v>SICI201803-16-3| Se socializará el plan de gestión integral de residuos hospitalarios (AP-AT-O-01-03) y se realizará segumiento de su cumplimiento. - 30/12/1899</v>
      </c>
      <c r="E190" s="0" t="str">
        <f aca="false">IFERROR(__xludf.dummyfunction("""COMPUTED_VALUE"""),"Esta completa desde seguimiento anterior")</f>
        <v>Esta completa desde seguimiento anterior</v>
      </c>
      <c r="F190" s="0" t="str">
        <f aca="false">IFERROR(__xludf.dummyfunction("""COMPUTED_VALUE"""),"Completo")</f>
        <v>Completo</v>
      </c>
    </row>
    <row r="191" customFormat="false" ht="14.25" hidden="false" customHeight="false" outlineLevel="0" collapsed="false">
      <c r="A191" s="18" t="str">
        <f aca="false">IFERROR(MID(D191,1,FIND("|",D191)-1)&amp;"-"&amp;C191,"")</f>
        <v>SICI201803-17-1-4</v>
      </c>
      <c r="B191" s="19" t="n">
        <f aca="false">IFERROR(__xludf.dummyfunction("""COMPUTED_VALUE"""),44369)</f>
        <v>44369</v>
      </c>
      <c r="C191" s="0" t="n">
        <f aca="false">IFERROR(__xludf.dummyfunction("""COMPUTED_VALUE"""),4)</f>
        <v>4</v>
      </c>
      <c r="D191" s="0" t="str">
        <f aca="false">IFERROR(__xludf.dummyfunction("""COMPUTED_VALUE"""),"SICI201803-17-1| Se notificarán al área de subgerencia administrativa los requerimientos relacionados con infraestructura, mobiliario, estibas y otros elementos importantes para el funcionamiento del servicio farmacéutico y el respectivo cumplimiento de l"&amp;"a normatividad vigente (Resolución 1402 de 2007, Resolución 2003 de 2014). - 31/05/2019")</f>
        <v>SICI201803-17-1| Se notificarán al área de subgerencia administrativa los requerimientos relacionados con infraestructura, mobiliario, estibas y otros elementos importantes para el funcionamiento del servicio farmacéutico y el respectivo cumplimiento de la normatividad vigente (Resolución 1402 de 2007, Resolución 2003 de 2014). - 31/05/2019</v>
      </c>
      <c r="E191" s="0" t="str">
        <f aca="false">IFERROR(__xludf.dummyfunction("""COMPUTED_VALUE"""),"Esta completa desde seguimiento anterior")</f>
        <v>Esta completa desde seguimiento anterior</v>
      </c>
      <c r="F191" s="0" t="str">
        <f aca="false">IFERROR(__xludf.dummyfunction("""COMPUTED_VALUE"""),"Completo")</f>
        <v>Completo</v>
      </c>
    </row>
    <row r="192" customFormat="false" ht="14.25" hidden="false" customHeight="false" outlineLevel="0" collapsed="false">
      <c r="A192" s="18" t="str">
        <f aca="false">IFERROR(MID(D192,1,FIND("|",D192)-1)&amp;"-"&amp;C192,"")</f>
        <v>SICI201803-17-2-4</v>
      </c>
      <c r="B192" s="19" t="n">
        <f aca="false">IFERROR(__xludf.dummyfunction("""COMPUTED_VALUE"""),44369)</f>
        <v>44369</v>
      </c>
      <c r="C192" s="0" t="n">
        <f aca="false">IFERROR(__xludf.dummyfunction("""COMPUTED_VALUE"""),4)</f>
        <v>4</v>
      </c>
      <c r="D192" s="0" t="str">
        <f aca="false">IFERROR(__xludf.dummyfunction("""COMPUTED_VALUE"""),"SICI201803-17-2| Se generará una lista de chequeo para verificar periodicamente (cada 4 meses): a) el cumplimiento de la calibracion y/o mantenimiento de los instrumentos de medición encontrados en el servicio farmacéutico, b) Señalización adecuada de la "&amp;"áreas de la farmacia y rutas de evacuación. c) Existencia y estado de extintores - 30/12/1899")</f>
        <v>SICI201803-17-2| Se generará una lista de chequeo para verificar periodicamente (cada 4 meses): a) el cumplimiento de la calibracion y/o mantenimiento de los instrumentos de medición encontrados en el servicio farmacéutico, b) Señalización adecuada de la áreas de la farmacia y rutas de evacuación. c) Existencia y estado de extintores - 30/12/1899</v>
      </c>
      <c r="E192" s="0" t="str">
        <f aca="false">IFERROR(__xludf.dummyfunction("""COMPUTED_VALUE"""),"Esta completa desde seguimiento anterior")</f>
        <v>Esta completa desde seguimiento anterior</v>
      </c>
      <c r="F192" s="0" t="str">
        <f aca="false">IFERROR(__xludf.dummyfunction("""COMPUTED_VALUE"""),"Completo")</f>
        <v>Completo</v>
      </c>
    </row>
    <row r="193" customFormat="false" ht="14.25" hidden="false" customHeight="false" outlineLevel="0" collapsed="false">
      <c r="A193" s="18" t="str">
        <f aca="false">IFERROR(MID(D193,1,FIND("|",D193)-1)&amp;"-"&amp;C193,"")</f>
        <v>SICI201803-18-1-4</v>
      </c>
      <c r="B193" s="19" t="n">
        <f aca="false">IFERROR(__xludf.dummyfunction("""COMPUTED_VALUE"""),44369)</f>
        <v>44369</v>
      </c>
      <c r="C193" s="0" t="n">
        <f aca="false">IFERROR(__xludf.dummyfunction("""COMPUTED_VALUE"""),4)</f>
        <v>4</v>
      </c>
      <c r="D193" s="0" t="str">
        <f aca="false">IFERROR(__xludf.dummyfunction("""COMPUTED_VALUE"""),"SICI201803-18-1| Se realizará e implementará instrumento para la recepción de medicamentos y dispositivos medicos por parte del Servicio Farmaceutico. - 30/0/2019")</f>
        <v>SICI201803-18-1| Se realizará e implementará instrumento para la recepción de medicamentos y dispositivos medicos por parte del Servicio Farmaceutico. - 30/0/2019</v>
      </c>
      <c r="E193" s="0" t="str">
        <f aca="false">IFERROR(__xludf.dummyfunction("""COMPUTED_VALUE"""),"Esta completa desde seguimiento anterior")</f>
        <v>Esta completa desde seguimiento anterior</v>
      </c>
      <c r="F193" s="0" t="str">
        <f aca="false">IFERROR(__xludf.dummyfunction("""COMPUTED_VALUE"""),"Completo")</f>
        <v>Completo</v>
      </c>
    </row>
    <row r="194" customFormat="false" ht="14.25" hidden="false" customHeight="false" outlineLevel="0" collapsed="false">
      <c r="A194" s="18" t="str">
        <f aca="false">IFERROR(MID(D194,1,FIND("|",D194)-1)&amp;"-"&amp;C194,"")</f>
        <v>SICI201803-18-2-4</v>
      </c>
      <c r="B194" s="19" t="n">
        <f aca="false">IFERROR(__xludf.dummyfunction("""COMPUTED_VALUE"""),44369)</f>
        <v>44369</v>
      </c>
      <c r="C194" s="0" t="n">
        <f aca="false">IFERROR(__xludf.dummyfunction("""COMPUTED_VALUE"""),4)</f>
        <v>4</v>
      </c>
      <c r="D194" s="0" t="str">
        <f aca="false">IFERROR(__xludf.dummyfunction("""COMPUTED_VALUE"""),"SICI201803-18-2| Se socializará con el personal del Servicio Farmaceutico el instrumento de recepción de medicamentos y dispositivos medicos - 30/12/1899")</f>
        <v>SICI201803-18-2| Se socializará con el personal del Servicio Farmaceutico el instrumento de recepción de medicamentos y dispositivos medicos - 30/12/1899</v>
      </c>
      <c r="E194" s="0" t="str">
        <f aca="false">IFERROR(__xludf.dummyfunction("""COMPUTED_VALUE"""),"Esta completa desde seguimiento anterior")</f>
        <v>Esta completa desde seguimiento anterior</v>
      </c>
      <c r="F194" s="0" t="str">
        <f aca="false">IFERROR(__xludf.dummyfunction("""COMPUTED_VALUE"""),"Completo")</f>
        <v>Completo</v>
      </c>
    </row>
    <row r="195" customFormat="false" ht="14.25" hidden="false" customHeight="false" outlineLevel="0" collapsed="false">
      <c r="A195" s="18" t="str">
        <f aca="false">IFERROR(MID(D195,1,FIND("|",D195)-1)&amp;"-"&amp;C195,"")</f>
        <v>SICI201803-18-3-4</v>
      </c>
      <c r="B195" s="19" t="n">
        <f aca="false">IFERROR(__xludf.dummyfunction("""COMPUTED_VALUE"""),44369)</f>
        <v>44369</v>
      </c>
      <c r="C195" s="0" t="n">
        <f aca="false">IFERROR(__xludf.dummyfunction("""COMPUTED_VALUE"""),4)</f>
        <v>4</v>
      </c>
      <c r="D195" s="0" t="str">
        <f aca="false">IFERROR(__xludf.dummyfunction("""COMPUTED_VALUE"""),"SICI201803-18-3| Se verificarán los medicamentos y dispostivos medicos que se reciben desde el almacén y se documentará en el formato respectivo. - 30/12/1899")</f>
        <v>SICI201803-18-3| Se verificarán los medicamentos y dispostivos medicos que se reciben desde el almacén y se documentará en el formato respectivo. - 30/12/1899</v>
      </c>
      <c r="E195" s="0" t="str">
        <f aca="false">IFERROR(__xludf.dummyfunction("""COMPUTED_VALUE"""),"Esta completa desde seguimiento anterior")</f>
        <v>Esta completa desde seguimiento anterior</v>
      </c>
      <c r="F195" s="0" t="str">
        <f aca="false">IFERROR(__xludf.dummyfunction("""COMPUTED_VALUE"""),"Completo")</f>
        <v>Completo</v>
      </c>
    </row>
    <row r="196" customFormat="false" ht="14.25" hidden="false" customHeight="false" outlineLevel="0" collapsed="false">
      <c r="A196" s="18" t="str">
        <f aca="false">IFERROR(MID(D196,1,FIND("|",D196)-1)&amp;"-"&amp;C196,"")</f>
        <v>SICI201803-18-4-4</v>
      </c>
      <c r="B196" s="19" t="n">
        <f aca="false">IFERROR(__xludf.dummyfunction("""COMPUTED_VALUE"""),44369)</f>
        <v>44369</v>
      </c>
      <c r="C196" s="0" t="n">
        <f aca="false">IFERROR(__xludf.dummyfunction("""COMPUTED_VALUE"""),4)</f>
        <v>4</v>
      </c>
      <c r="D196" s="0" t="str">
        <f aca="false">IFERROR(__xludf.dummyfunction("""COMPUTED_VALUE"""),"SICI201803-18-4| Se implementará formato de control de medicamentos de salud pública con el fin de controlar el inventario de medicamentos como los usados para manejo de TBC: - 30/12/1899")</f>
        <v>SICI201803-18-4| Se implementará formato de control de medicamentos de salud pública con el fin de controlar el inventario de medicamentos como los usados para manejo de TBC: - 30/12/1899</v>
      </c>
      <c r="E196" s="0" t="str">
        <f aca="false">IFERROR(__xludf.dummyfunction("""COMPUTED_VALUE"""),"Esta completa desde seguimiento anterior")</f>
        <v>Esta completa desde seguimiento anterior</v>
      </c>
      <c r="F196" s="0" t="str">
        <f aca="false">IFERROR(__xludf.dummyfunction("""COMPUTED_VALUE"""),"Completo")</f>
        <v>Completo</v>
      </c>
    </row>
    <row r="197" customFormat="false" ht="14.25" hidden="false" customHeight="false" outlineLevel="0" collapsed="false">
      <c r="A197" s="18" t="str">
        <f aca="false">IFERROR(MID(D197,1,FIND("|",D197)-1)&amp;"-"&amp;C197,"")</f>
        <v>SICI201803-19-1-4</v>
      </c>
      <c r="B197" s="19" t="n">
        <f aca="false">IFERROR(__xludf.dummyfunction("""COMPUTED_VALUE"""),44369)</f>
        <v>44369</v>
      </c>
      <c r="C197" s="0" t="n">
        <f aca="false">IFERROR(__xludf.dummyfunction("""COMPUTED_VALUE"""),4)</f>
        <v>4</v>
      </c>
      <c r="D197" s="0" t="str">
        <f aca="false">IFERROR(__xludf.dummyfunction("""COMPUTED_VALUE"""),"SICI201803-19-1| Se notificará al equipo HIS la necesidad de que el sistema de información genere alertas en el módulo de inventario que permitan evidenciar los pendientes de medicamentos y dispostivos medicos para el personal de almacén y Servicio Farmac"&amp;"éutico. - 31/05/2019")</f>
        <v>SICI201803-19-1| Se notificará al equipo HIS la necesidad de que el sistema de información genere alertas en el módulo de inventario que permitan evidenciar los pendientes de medicamentos y dispostivos medicos para el personal de almacén y Servicio Farmacéutico. - 31/05/2019</v>
      </c>
      <c r="E197" s="0" t="str">
        <f aca="false">IFERROR(__xludf.dummyfunction("""COMPUTED_VALUE"""),"Esta completa desde seguimiento anterior")</f>
        <v>Esta completa desde seguimiento anterior</v>
      </c>
      <c r="F197" s="0" t="str">
        <f aca="false">IFERROR(__xludf.dummyfunction("""COMPUTED_VALUE"""),"Completo")</f>
        <v>Completo</v>
      </c>
    </row>
    <row r="198" customFormat="false" ht="14.25" hidden="false" customHeight="false" outlineLevel="0" collapsed="false">
      <c r="A198" s="18" t="str">
        <f aca="false">IFERROR(MID(D198,1,FIND("|",D198)-1)&amp;"-"&amp;C198,"")</f>
        <v>SICI201803-20-1-4</v>
      </c>
      <c r="B198" s="19" t="n">
        <f aca="false">IFERROR(__xludf.dummyfunction("""COMPUTED_VALUE"""),44410)</f>
        <v>44410</v>
      </c>
      <c r="C198" s="0" t="n">
        <f aca="false">IFERROR(__xludf.dummyfunction("""COMPUTED_VALUE"""),4)</f>
        <v>4</v>
      </c>
      <c r="D198" s="0" t="str">
        <f aca="false">IFERROR(__xludf.dummyfunction("""COMPUTED_VALUE"""),"SICI201803-20-1| Se notificar al equipo de HIS y a la Subgerencia Administrativa la necesidad de que el Sistema de Información permita en el módulo de inventarios el control de lotes, fechas de vencimiento de medicamentos y dispositivos médicos con el fin"&amp;" de garantizar un control de trazabilidad y de fechas de vencimiento. - 31/05/2019")</f>
        <v>SICI201803-20-1| Se notificar al equipo de HIS y a la Subgerencia Administrativa la necesidad de que el Sistema de Información permita en el módulo de inventarios el control de lotes, fechas de vencimiento de medicamentos y dispositivos médicos con el fin de garantizar un control de trazabilidad y de fechas de vencimiento. - 31/05/2019</v>
      </c>
      <c r="E198" s="0" t="str">
        <f aca="false">IFERROR(__xludf.dummyfunction("""COMPUTED_VALUE"""),"El equipo de farmacia informa que se reitero correo a HIS solicitando respuesta sobre del hallazgo, a lo que al 02/08/2021 no se obtuvo respuesta alguna, por parte del Servicio Farmacéutico se están tomando medidas para poder dar un manejo adecuado a los "&amp;"medicamentos, dispositivos médicos y/o insumos próximos a vencer,  se están manejando los siguientes formatos:  1. FORMATO REPORTE  PRÓXIMOS A VENCER 2. FORMATO CONTROL FECHAS DE VENCIMIENTO 3. INFORME PRÓXIMOS A VENCER ")</f>
        <v>El equipo de farmacia informa que se reitero correo a HIS solicitando respuesta sobre del hallazgo, a lo que al 02/08/2021 no se obtuvo respuesta alguna, por parte del Servicio Farmacéutico se están tomando medidas para poder dar un manejo adecuado a los medicamentos, dispositivos médicos y/o insumos próximos a vencer,  se están manejando los siguientes formatos:  1. FORMATO REPORTE  PRÓXIMOS A VENCER 2. FORMATO CONTROL FECHAS DE VENCIMIENTO 3. INFORME PRÓXIMOS A VENCER </v>
      </c>
      <c r="F198" s="0" t="str">
        <f aca="false">IFERROR(__xludf.dummyfunction("""COMPUTED_VALUE"""),"Completo")</f>
        <v>Completo</v>
      </c>
      <c r="G198" s="0" t="str">
        <f aca="false">IFERROR(__xludf.dummyfunction("""COMPUTED_VALUE"""),"https://drive.google.com/open?id=1ThVE4fTAKzSli_QxdL19HdFJj0DcpAzE, https://drive.google.com/open?id=1G8PqA00cjSVQIskVZDWzT--2DCH4t8ki, https://drive.google.com/open?id=1hPFzy268RHJkE-BRpwlDuJtnGNX03xp-, https://drive.google.com/open?id=1q7w4cCAvgbr44VHJ5"&amp;"ozUZdfewTu-8WmQ, https://drive.google.com/open?id=1nzGUn5CBPaI7zki10uovD5Ljt6ywHMQa")</f>
        <v>https://drive.google.com/open?id=1ThVE4fTAKzSli_QxdL19HdFJj0DcpAzE, https://drive.google.com/open?id=1G8PqA00cjSVQIskVZDWzT--2DCH4t8ki, https://drive.google.com/open?id=1hPFzy268RHJkE-BRpwlDuJtnGNX03xp-, https://drive.google.com/open?id=1q7w4cCAvgbr44VHJ5ozUZdfewTu-8WmQ, https://drive.google.com/open?id=1nzGUn5CBPaI7zki10uovD5Ljt6ywHMQa</v>
      </c>
    </row>
    <row r="199" customFormat="false" ht="14.25" hidden="false" customHeight="false" outlineLevel="0" collapsed="false">
      <c r="A199" s="18" t="str">
        <f aca="false">IFERROR(MID(D199,1,FIND("|",D199)-1)&amp;"-"&amp;C199,"")</f>
        <v>SICI201803-22-1-4</v>
      </c>
      <c r="B199" s="19" t="n">
        <f aca="false">IFERROR(__xludf.dummyfunction("""COMPUTED_VALUE"""),44369)</f>
        <v>44369</v>
      </c>
      <c r="C199" s="0" t="n">
        <f aca="false">IFERROR(__xludf.dummyfunction("""COMPUTED_VALUE"""),4)</f>
        <v>4</v>
      </c>
      <c r="D199" s="0" t="str">
        <f aca="false">IFERROR(__xludf.dummyfunction("""COMPUTED_VALUE"""),"SICI201803-22-1| El Servicio Farmacéutico realizará la solicitud de pedidos de 45 días al área de suministros (almacén) a través de correo electronico de acuerdo a sus necesidades. - 31/08/2019")</f>
        <v>SICI201803-22-1| El Servicio Farmacéutico realizará la solicitud de pedidos de 45 días al área de suministros (almacén) a través de correo electronico de acuerdo a sus necesidades. - 31/08/2019</v>
      </c>
      <c r="E199" s="0" t="str">
        <f aca="false">IFERROR(__xludf.dummyfunction("""COMPUTED_VALUE"""),"Esta completa desde seguimiento anterior")</f>
        <v>Esta completa desde seguimiento anterior</v>
      </c>
      <c r="F199" s="0" t="str">
        <f aca="false">IFERROR(__xludf.dummyfunction("""COMPUTED_VALUE"""),"Completo")</f>
        <v>Completo</v>
      </c>
    </row>
    <row r="200" customFormat="false" ht="14.25" hidden="false" customHeight="false" outlineLevel="0" collapsed="false">
      <c r="A200" s="18" t="str">
        <f aca="false">IFERROR(MID(D200,1,FIND("|",D200)-1)&amp;"-"&amp;C200,"")</f>
        <v>SICI201803-22-2-4</v>
      </c>
      <c r="B200" s="19" t="n">
        <f aca="false">IFERROR(__xludf.dummyfunction("""COMPUTED_VALUE"""),44369)</f>
        <v>44369</v>
      </c>
      <c r="C200" s="0" t="n">
        <f aca="false">IFERROR(__xludf.dummyfunction("""COMPUTED_VALUE"""),4)</f>
        <v>4</v>
      </c>
      <c r="D200" s="0" t="str">
        <f aca="false">IFERROR(__xludf.dummyfunction("""COMPUTED_VALUE"""),"SICI201803-22-2| Se realizará el traslado de los medicamentos entre las diferentes unidades que cuentan con existencias para las farmacias que lo requieran. - 30/12/1899")</f>
        <v>SICI201803-22-2| Se realizará el traslado de los medicamentos entre las diferentes unidades que cuentan con existencias para las farmacias que lo requieran. - 30/12/1899</v>
      </c>
      <c r="E200" s="0" t="str">
        <f aca="false">IFERROR(__xludf.dummyfunction("""COMPUTED_VALUE"""),"Esta completa desde seguimiento anterior")</f>
        <v>Esta completa desde seguimiento anterior</v>
      </c>
      <c r="F200" s="0" t="str">
        <f aca="false">IFERROR(__xludf.dummyfunction("""COMPUTED_VALUE"""),"Completo")</f>
        <v>Completo</v>
      </c>
    </row>
    <row r="201" customFormat="false" ht="14.25" hidden="false" customHeight="false" outlineLevel="0" collapsed="false">
      <c r="A201" s="18" t="str">
        <f aca="false">IFERROR(MID(D201,1,FIND("|",D201)-1)&amp;"-"&amp;C201,"")</f>
        <v>SICI201803-22-3-4</v>
      </c>
      <c r="B201" s="19" t="n">
        <f aca="false">IFERROR(__xludf.dummyfunction("""COMPUTED_VALUE"""),44369)</f>
        <v>44369</v>
      </c>
      <c r="C201" s="0" t="n">
        <f aca="false">IFERROR(__xludf.dummyfunction("""COMPUTED_VALUE"""),4)</f>
        <v>4</v>
      </c>
      <c r="D201" s="0" t="str">
        <f aca="false">IFERROR(__xludf.dummyfunction("""COMPUTED_VALUE"""),"SICI201803-22-3| Se notificará al área de Supervisión de contratos los medicamentos contratados que son criticos y que no se reciben en los pedidos. - 30/12/1899")</f>
        <v>SICI201803-22-3| Se notificará al área de Supervisión de contratos los medicamentos contratados que son criticos y que no se reciben en los pedidos. - 30/12/1899</v>
      </c>
      <c r="E201" s="0" t="str">
        <f aca="false">IFERROR(__xludf.dummyfunction("""COMPUTED_VALUE"""),"Esta completa desde seguimiento anterior")</f>
        <v>Esta completa desde seguimiento anterior</v>
      </c>
      <c r="F201" s="0" t="str">
        <f aca="false">IFERROR(__xludf.dummyfunction("""COMPUTED_VALUE"""),"Completo")</f>
        <v>Completo</v>
      </c>
    </row>
    <row r="202" customFormat="false" ht="14.25" hidden="false" customHeight="false" outlineLevel="0" collapsed="false">
      <c r="A202" s="18" t="str">
        <f aca="false">IFERROR(MID(D202,1,FIND("|",D202)-1)&amp;"-"&amp;C202,"")</f>
        <v>SICI201803-22-4-4</v>
      </c>
      <c r="B202" s="19" t="n">
        <f aca="false">IFERROR(__xludf.dummyfunction("""COMPUTED_VALUE"""),44369)</f>
        <v>44369</v>
      </c>
      <c r="C202" s="0" t="n">
        <f aca="false">IFERROR(__xludf.dummyfunction("""COMPUTED_VALUE"""),4)</f>
        <v>4</v>
      </c>
      <c r="D202" s="0" t="str">
        <f aca="false">IFERROR(__xludf.dummyfunction("""COMPUTED_VALUE"""),"SICI201803-22-4| El Servicio Farmaceutico socializará en el Comité de Farmacia y Terapéutica el listado de medicamentos debastecidos a nivel nacional para solicitar al personal asistencial posibles alternativas terapéuticas. - 30/12/1899")</f>
        <v>SICI201803-22-4| El Servicio Farmaceutico socializará en el Comité de Farmacia y Terapéutica el listado de medicamentos debastecidos a nivel nacional para solicitar al personal asistencial posibles alternativas terapéuticas. - 30/12/1899</v>
      </c>
      <c r="E202" s="0" t="str">
        <f aca="false">IFERROR(__xludf.dummyfunction("""COMPUTED_VALUE"""),"Esta completa desde seguimiento anterior")</f>
        <v>Esta completa desde seguimiento anterior</v>
      </c>
      <c r="F202" s="0" t="str">
        <f aca="false">IFERROR(__xludf.dummyfunction("""COMPUTED_VALUE"""),"Completo")</f>
        <v>Completo</v>
      </c>
    </row>
    <row r="203" customFormat="false" ht="14.25" hidden="false" customHeight="false" outlineLevel="0" collapsed="false">
      <c r="A203" s="18" t="str">
        <f aca="false">IFERROR(MID(D203,1,FIND("|",D203)-1)&amp;"-"&amp;C203,"")</f>
        <v>SICI201803-22-5-4</v>
      </c>
      <c r="B203" s="19" t="n">
        <f aca="false">IFERROR(__xludf.dummyfunction("""COMPUTED_VALUE"""),44369)</f>
        <v>44369</v>
      </c>
      <c r="C203" s="0" t="n">
        <f aca="false">IFERROR(__xludf.dummyfunction("""COMPUTED_VALUE"""),4)</f>
        <v>4</v>
      </c>
      <c r="D203" s="0" t="str">
        <f aca="false">IFERROR(__xludf.dummyfunction("""COMPUTED_VALUE"""),"SICI201803-22-5| El servicio farmacéutico notificará al área de caja menor que cuando se soliciten los insumos pendientes y que no estén contratados por la subred. los mismos deben ser gestionados en un plazo no mayor a 24 horas. - 30/12/1899")</f>
        <v>SICI201803-22-5| El servicio farmacéutico notificará al área de caja menor que cuando se soliciten los insumos pendientes y que no estén contratados por la subred. los mismos deben ser gestionados en un plazo no mayor a 24 horas. - 30/12/1899</v>
      </c>
      <c r="E203" s="0" t="str">
        <f aca="false">IFERROR(__xludf.dummyfunction("""COMPUTED_VALUE"""),"Esta completa desde seguimiento anterior")</f>
        <v>Esta completa desde seguimiento anterior</v>
      </c>
      <c r="F203" s="0" t="str">
        <f aca="false">IFERROR(__xludf.dummyfunction("""COMPUTED_VALUE"""),"Completo")</f>
        <v>Completo</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row r="1000" customFormat="false" ht="14.25" hidden="false" customHeight="false" outlineLevel="0" collapsed="false">
      <c r="A1000" s="18" t="str">
        <f aca="false">IFERROR(MID(D1000,1,FIND("|",D1000)-1)&amp;"-"&amp;C1000,"")</f>
        <v/>
      </c>
    </row>
  </sheetData>
  <hyperlinks>
    <hyperlink ref="G6" r:id="rId1" display="https://drive.google.com/open?id=1NAZ8AtcSiG2vKVYQa0Wj85U8BVm7oRJR"/>
    <hyperlink ref="G31" r:id="rId2" display="https://drive.google.com/open?id=1qNtp2x_453_09oqmZ_w7K2LRq7py1zFf"/>
    <hyperlink ref="G34" r:id="rId3" display="https://drive.google.com/open?id=1sTNEq2nAqDAwAwNlt9lkCJgVM5XtKcWt"/>
    <hyperlink ref="G36" r:id="rId4" display="https://drive.google.com/open?id=1-i1LzQiNZpfjdu-Hmkrp3YaQtoMYVVL_"/>
    <hyperlink ref="G37" r:id="rId5" display="https://drive.google.com/open?id=1zoWjosWlOxLdAPKFnsgeUFQ8PaGZAGmL"/>
    <hyperlink ref="G38" r:id="rId6" display="https://drive.google.com/open?id=1gBtF3nKChbFPEBgiErKzHDqFe3CJE4Th"/>
    <hyperlink ref="G41" r:id="rId7" display="https://drive.google.com/open?id=1-twJn8m6j3IqEAMlDaKN_-sNOkuEJQHT"/>
    <hyperlink ref="G42" r:id="rId8" display="https://drive.google.com/open?id=1o8L0iv9Ga9FzGHD2zkmDIFU2KVmokQNy"/>
    <hyperlink ref="G50" r:id="rId9" display="https://drive.google.com/open?id=19xmVRVdPKbB2AO75gFu5LkDoqTAYenCl"/>
    <hyperlink ref="G52" r:id="rId10" display="https://drive.google.com/open?id=1sFnbb0hEYPZfCTNZnLApm0zR-UURAacq"/>
    <hyperlink ref="G58" r:id="rId11" display="https://drive.google.com/open?id=1reCG9gwJr2yznOku63GFmAC1ZmT46LTG"/>
    <hyperlink ref="G76" r:id="rId12" display="https://drive.google.com/open?id=1oW7cyiD5gD2328EQSO6Sm5hgqSz4T_ez"/>
    <hyperlink ref="G77" r:id="rId13" display="https://drive.google.com/open?id=1rNqTmfCXlA6D5GuszSC7SuKHecEQeafv"/>
    <hyperlink ref="G78" r:id="rId14" display="https://drive.google.com/open?id=1BZKObiaBgC5qMBCCygoA6mXgzuC6euk_"/>
    <hyperlink ref="G83" r:id="rId15" display="https://drive.google.com/open?id=13JOH8-ImuO0CZGN_maXWu0SX271k4zZj"/>
    <hyperlink ref="G85" r:id="rId16" display="https://drive.google.com/open?id=1WdL7JOXj1Q4SOrkJcaqfOi5gV8vbeYqg"/>
    <hyperlink ref="G89" r:id="rId17" display="https://drive.google.com/open?id=1sLS5tqupOQPq6ZM47BjAMAwWn74fYO9C"/>
    <hyperlink ref="G93" r:id="rId18" display="https://drive.google.com/open?id=1202mb-0U2aCPW5dAJLiNhLtsMPR5bBB8"/>
    <hyperlink ref="G95" r:id="rId19" display="https://drive.google.com/open?id=1bOvrKLsvWhgWGPT6EdAVgj1skx5mekb7"/>
    <hyperlink ref="G96" r:id="rId20" display="https://drive.google.com/open?id=1oyaXD3jz87I8mRdl2Xu6t0ltN6gveRbk"/>
    <hyperlink ref="G100" r:id="rId21" display="https://drive.google.com/open?id=1WV3hiKea6DVd7OTmGF0IvUnlh3kbHF6i"/>
    <hyperlink ref="G102" r:id="rId22" display="https://drive.google.com/open?id=1AUkoWwAIob3UQNKVUIH-Ufp5lbaTcLRu"/>
    <hyperlink ref="G122" r:id="rId23" display="https://drive.google.com/open?id=1yfYzaZI0GCL_t_3Jj-OIdZI9jfC8MeHn"/>
    <hyperlink ref="G124" r:id="rId24" display="https://drive.google.com/open?id=1rJn5w7_uYdjVC1CAF83HqtNZMQgO3AhR"/>
    <hyperlink ref="G125" r:id="rId25" display="https://drive.google.com/open?id=19AyTvn-67cYBlZZJRy-lcWLPKTH9VhUa"/>
    <hyperlink ref="G126" r:id="rId26" display="https://drive.google.com/open?id=1416Ep0r0G2tHww5BDCUOszyl-ezn1Gme"/>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9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7.86"/>
    <col collapsed="false" customWidth="true" hidden="false" outlineLevel="0" max="4" min="4" style="0" width="13.14"/>
    <col collapsed="false" customWidth="true" hidden="false" outlineLevel="0" max="5" min="5" style="0" width="30.28"/>
  </cols>
  <sheetData>
    <row r="1" customFormat="false" ht="12.75" hidden="false" customHeight="false" outlineLevel="0" collapsed="false">
      <c r="A1" s="13" t="s">
        <v>1852</v>
      </c>
      <c r="B1" s="13" t="str">
        <f aca="false">$A$2&amp;"B1:B100"</f>
        <v>Rpta!B1:B100</v>
      </c>
      <c r="C1" s="13" t="str">
        <f aca="false">$A$2&amp;"c1:c100"</f>
        <v>Rpta!c1:c100</v>
      </c>
      <c r="D1" s="13" t="str">
        <f aca="false">$A$2&amp;"d1:d100"</f>
        <v>Rpta!d1:d100</v>
      </c>
      <c r="E1" s="13" t="str">
        <f aca="false">$A$2&amp;"e1:e100"</f>
        <v>Rpta!e1:e100</v>
      </c>
      <c r="F1" s="13" t="str">
        <f aca="false">$A$2&amp;"f1:f100"</f>
        <v>Rpta!f1:f100</v>
      </c>
      <c r="G1" s="13" t="str">
        <f aca="false">$A$2&amp;"g1:g100"</f>
        <v>Rpta!g1:g100</v>
      </c>
    </row>
    <row r="2" customFormat="false" ht="15" hidden="false" customHeight="true" outlineLevel="0" collapsed="false">
      <c r="A2" s="22" t="s">
        <v>1853</v>
      </c>
      <c r="B2" s="17"/>
      <c r="C2" s="17"/>
      <c r="D2" s="17"/>
      <c r="E2" s="17"/>
      <c r="F2" s="17"/>
      <c r="G2" s="17"/>
    </row>
    <row r="3" customFormat="false" ht="14.25" hidden="false" customHeight="false" outlineLevel="0" collapsed="false">
      <c r="A3" s="13" t="s">
        <v>1785</v>
      </c>
      <c r="B3" s="18" t="str">
        <f aca="false">IFERROR(__xludf.dummyfunction("IMPORTRANGE($A$1,B1)"),"Fecha_seg")</f>
        <v>Fecha_seg</v>
      </c>
      <c r="C3" s="0" t="str">
        <f aca="false">IFERROR(__xludf.dummyfunction("IMPORTRANGE($A$1,C1)"),"No_seg")</f>
        <v>No_seg</v>
      </c>
      <c r="D3" s="0" t="str">
        <f aca="false">IFERROR(__xludf.dummyfunction("IMPORTRANGE($A$1,D1)"),"Acción")</f>
        <v>Acción</v>
      </c>
      <c r="E3" s="0" t="str">
        <f aca="false">IFERROR(__xludf.dummyfunction("IMPORTRANGE($A$1,E1)"),"Observación")</f>
        <v>Observación</v>
      </c>
      <c r="F3" s="0" t="str">
        <f aca="false">IFERROR(__xludf.dummyfunction("IMPORTRANGE($A$1,F1)"),"Estado")</f>
        <v>Estado</v>
      </c>
      <c r="G3" s="0" t="str">
        <f aca="false">IFERROR(__xludf.dummyfunction("IMPORTRANGE($A$1,G1)"),"Soportes")</f>
        <v>Soportes</v>
      </c>
    </row>
    <row r="4" customFormat="false" ht="14.25" hidden="false" customHeight="false" outlineLevel="0" collapsed="false">
      <c r="A4" s="18" t="str">
        <f aca="false">IFERROR(MID(D4,1,FIND("|",D4)-1)&amp;"-"&amp;C4,"")</f>
        <v>AICI201804-1-1-1</v>
      </c>
      <c r="B4" s="19" t="n">
        <f aca="false">IFERROR(__xludf.dummyfunction("""COMPUTED_VALUE"""),43556)</f>
        <v>43556</v>
      </c>
      <c r="C4" s="0" t="n">
        <f aca="false">IFERROR(__xludf.dummyfunction("""COMPUTED_VALUE"""),1)</f>
        <v>1</v>
      </c>
      <c r="D4" s="0" t="str">
        <f aca="false">IFERROR(__xludf.dummyfunction("""COMPUTED_VALUE"""),"AICI201804-1-1| Incluir en el Plan de Ventas de la vigencia 2019 el indicador de cumplimiento del mismo. - 28/02/2019")</f>
        <v>AICI201804-1-1| Incluir en el Plan de Ventas de la vigencia 2019 el indicador de cumplimiento del mismo. - 28/02/2019</v>
      </c>
      <c r="E4" s="0" t="str">
        <f aca="false">IFERROR(__xludf.dummyfunction("""COMPUTED_VALUE"""),"Se incluyó en el Plan de Ventas de la vigencia 2019 el indicador de cumplimiento del mismo. Sin embargo no se observa si este indicador mide el cumplimiento a corto, mediano y largo plazo. ")</f>
        <v>Se incluyó en el Plan de Ventas de la vigencia 2019 el indicador de cumplimiento del mismo. Sin embargo no se observa si este indicador mide el cumplimiento a corto, mediano y largo plazo. </v>
      </c>
      <c r="F4" s="0" t="str">
        <f aca="false">IFERROR(__xludf.dummyfunction("""COMPUTED_VALUE"""),"Atrasado")</f>
        <v>Atrasado</v>
      </c>
      <c r="G4" s="20" t="str">
        <f aca="false">IFERROR(__xludf.dummyfunction("""COMPUTED_VALUE"""),"https://drive.google.com/open?id=1FdQg9KhT4ivIMFoldKJcx0jIle8ZWi5t")</f>
        <v>https://drive.google.com/open?id=1FdQg9KhT4ivIMFoldKJcx0jIle8ZWi5t</v>
      </c>
    </row>
    <row r="5" customFormat="false" ht="14.25" hidden="false" customHeight="false" outlineLevel="0" collapsed="false">
      <c r="A5" s="18" t="str">
        <f aca="false">IFERROR(MID(D5,1,FIND("|",D5)-1)&amp;"-"&amp;C5,"")</f>
        <v>AICI201804-2-2-1</v>
      </c>
      <c r="B5" s="19" t="n">
        <f aca="false">IFERROR(__xludf.dummyfunction("""COMPUTED_VALUE"""),43556)</f>
        <v>43556</v>
      </c>
      <c r="C5" s="0" t="n">
        <f aca="false">IFERROR(__xludf.dummyfunction("""COMPUTED_VALUE"""),1)</f>
        <v>1</v>
      </c>
      <c r="D5" s="0" t="str">
        <f aca="false">IFERROR(__xludf.dummyfunction("""COMPUTED_VALUE"""),"AICI201804-2-2| Diseñar, socializar, implementar y realizar seguimiento trimestral del procedimiento de parametrización de contratos en el en el módulo del sistema Clinical Swiff. - 31/12/2019")</f>
        <v>AICI201804-2-2| Diseñar, socializar, implementar y realizar seguimiento trimestral del procedimiento de parametrización de contratos en el en el módulo del sistema Clinical Swiff. - 31/12/2019</v>
      </c>
      <c r="E5" s="0" t="str">
        <f aca="false">IFERROR(__xludf.dummyfunction("""COMPUTED_VALUE"""),"Se diseñó e incluyó en control  documental  el procedimiento de parametrización de contratos  con el código AP-GF-I-19-01 con fecha 4 de marzo de 2019. No se anexo soporte de su socialización y realización de las auditorias trimestrales establecidas en di"&amp;"cho procedimiento.")</f>
        <v>Se diseñó e incluyó en control  documental  el procedimiento de parametrización de contratos  con el código AP-GF-I-19-01 con fecha 4 de marzo de 2019. No se anexo soporte de su socialización y realización de las auditorias trimestrales establecidas en dicho procedimiento.</v>
      </c>
      <c r="F5" s="0" t="str">
        <f aca="false">IFERROR(__xludf.dummyfunction("""COMPUTED_VALUE"""),"En desarrollo")</f>
        <v>En desarrollo</v>
      </c>
      <c r="G5" s="0" t="str">
        <f aca="false">IFERROR(__xludf.dummyfunction("""COMPUTED_VALUE"""),"https://drive.google.com/open?id=1yqJ7KAJC4YYFwdcEFvUcfMj8jbHIQ3Ul, https://drive.google.com/open?id=1SVsYDDrqKY8qBoYN-bFN6EUFWV4e9-Oq")</f>
        <v>https://drive.google.com/open?id=1yqJ7KAJC4YYFwdcEFvUcfMj8jbHIQ3Ul, https://drive.google.com/open?id=1SVsYDDrqKY8qBoYN-bFN6EUFWV4e9-Oq</v>
      </c>
    </row>
    <row r="6" customFormat="false" ht="14.25" hidden="false" customHeight="false" outlineLevel="0" collapsed="false">
      <c r="A6" s="18" t="str">
        <f aca="false">IFERROR(MID(D6,1,FIND("|",D6)-1)&amp;"-"&amp;C6,"")</f>
        <v>AICI201804-3-3-1</v>
      </c>
      <c r="B6" s="19" t="n">
        <f aca="false">IFERROR(__xludf.dummyfunction("""COMPUTED_VALUE"""),43556)</f>
        <v>43556</v>
      </c>
      <c r="C6" s="0" t="n">
        <f aca="false">IFERROR(__xludf.dummyfunction("""COMPUTED_VALUE"""),1)</f>
        <v>1</v>
      </c>
      <c r="D6" s="0" t="str">
        <f aca="false">IFERROR(__xludf.dummyfunction("""COMPUTED_VALUE"""),"AICI201804-3-3| Realizar seguimiento trimestral a los contratos suscritos con el FFDS, incluyendo PIC y convenios, desde el punto de vista financiero , teniendo en cuenta que la supervisión de los contratos del FFDS y los convenios tienen delegación de su"&amp;"pervisión desde la Gerencia. - 30/01/2020")</f>
        <v>AICI201804-3-3| Realizar seguimiento trimestral a los contratos suscritos con el FFDS, incluyendo PIC y convenios, desde el punto de vista financiero , teniendo en cuenta que la supervisión de los contratos del FFDS y los convenios tienen delegación de supervisión desde la Gerencia. - 30/01/2020</v>
      </c>
      <c r="E6" s="0" t="str">
        <f aca="false">IFERROR(__xludf.dummyfunction("""COMPUTED_VALUE"""),"Se realizó seguimiento trimestral a contratos suscritos con el FFDS, de PIC y convenios, desde el punto de vista financiero. (Soportes a marzo 2019)")</f>
        <v>Se realizó seguimiento trimestral a contratos suscritos con el FFDS, de PIC y convenios, desde el punto de vista financiero. (Soportes a marzo 2019)</v>
      </c>
      <c r="F6" s="0" t="str">
        <f aca="false">IFERROR(__xludf.dummyfunction("""COMPUTED_VALUE"""),"Completo")</f>
        <v>Completo</v>
      </c>
      <c r="G6" s="0" t="str">
        <f aca="false">IFERROR(__xludf.dummyfunction("""COMPUTED_VALUE"""),"https://drive.google.com/open?id=1XjZRURoC5cxA35P-riCiXDTDwjESkXE1, https://drive.google.com/open?id=1M9KsNDaUhXBeq54AXIQK7z6xEkdhMm0t, https://drive.google.com/open?id=1IqRsgWJ_XVjXVUyE8vovIgvcU1JtUByT, https://drive.google.com/open?id=15oIDc0phWx_NIVwD6"&amp;"S8hYLZ77a3ENO-U, https://drive.google.com/open?id=1Gi8d6P78RCu9wH8He8Y9APVmzOSgriiW")</f>
        <v>https://drive.google.com/open?id=1XjZRURoC5cxA35P-riCiXDTDwjESkXE1, https://drive.google.com/open?id=1M9KsNDaUhXBeq54AXIQK7z6xEkdhMm0t, https://drive.google.com/open?id=1IqRsgWJ_XVjXVUyE8vovIgvcU1JtUByT, https://drive.google.com/open?id=15oIDc0phWx_NIVwD6S8hYLZ77a3ENO-U, https://drive.google.com/open?id=1Gi8d6P78RCu9wH8He8Y9APVmzOSgriiW</v>
      </c>
    </row>
    <row r="7" customFormat="false" ht="14.25" hidden="false" customHeight="false" outlineLevel="0" collapsed="false">
      <c r="A7" s="18" t="str">
        <f aca="false">IFERROR(MID(D7,1,FIND("|",D7)-1)&amp;"-"&amp;C7,"")</f>
        <v>AICI201804-4-4-1</v>
      </c>
      <c r="B7" s="19" t="n">
        <f aca="false">IFERROR(__xludf.dummyfunction("""COMPUTED_VALUE"""),43556)</f>
        <v>43556</v>
      </c>
      <c r="C7" s="0" t="n">
        <f aca="false">IFERROR(__xludf.dummyfunction("""COMPUTED_VALUE"""),1)</f>
        <v>1</v>
      </c>
      <c r="D7" s="0" t="str">
        <f aca="false">IFERROR(__xludf.dummyfunction("""COMPUTED_VALUE"""),"AICI201804-4-4| Realizar revisión de los planes de mejoramiento existentes en la vigencia 2018 y darles cumplimiento de acuerdo a las vigencias. - 28/02/2019")</f>
        <v>AICI201804-4-4| Realizar revisión de los planes de mejoramiento existentes en la vigencia 2018 y darles cumplimiento de acuerdo a las vigencias. - 28/02/2019</v>
      </c>
      <c r="E7" s="0" t="str">
        <f aca="false">IFERROR(__xludf.dummyfunction("""COMPUTED_VALUE"""),"Se evidencia el seguimiento realizado  por el área de calidad a través del plan de mejoramiento enviado.")</f>
        <v>Se evidencia el seguimiento realizado  por el área de calidad a través del plan de mejoramiento enviado.</v>
      </c>
      <c r="F7" s="0" t="str">
        <f aca="false">IFERROR(__xludf.dummyfunction("""COMPUTED_VALUE"""),"Completo")</f>
        <v>Completo</v>
      </c>
      <c r="G7" s="20" t="str">
        <f aca="false">IFERROR(__xludf.dummyfunction("""COMPUTED_VALUE"""),"https://drive.google.com/open?id=13hgVtZYZqy3lH-StBYEAaEXHiHERCe9r")</f>
        <v>https://drive.google.com/open?id=13hgVtZYZqy3lH-StBYEAaEXHiHERCe9r</v>
      </c>
    </row>
    <row r="8" customFormat="false" ht="14.25" hidden="false" customHeight="false" outlineLevel="0" collapsed="false">
      <c r="A8" s="18" t="str">
        <f aca="false">IFERROR(MID(D8,1,FIND("|",D8)-1)&amp;"-"&amp;C8,"")</f>
        <v>AICI201804-5-5-1</v>
      </c>
      <c r="B8" s="19" t="n">
        <f aca="false">IFERROR(__xludf.dummyfunction("""COMPUTED_VALUE"""),43556)</f>
        <v>43556</v>
      </c>
      <c r="C8" s="0" t="n">
        <f aca="false">IFERROR(__xludf.dummyfunction("""COMPUTED_VALUE"""),1)</f>
        <v>1</v>
      </c>
      <c r="D8" s="0" t="str">
        <f aca="false">IFERROR(__xludf.dummyfunction("""COMPUTED_VALUE"""),"AICI201804-5-5| Realizar la revisión de reportes generados por el sistema, reportar al proveedor para seguimiento de errores e implementarlos. - 28/05/2019")</f>
        <v>AICI201804-5-5| Realizar la revisión de reportes generados por el sistema, reportar al proveedor para seguimiento de errores e implementarlos. - 28/05/2019</v>
      </c>
      <c r="E8" s="0" t="str">
        <f aca="false">IFERROR(__xludf.dummyfunction("""COMPUTED_VALUE"""),"Se anexa evidencias de las gestiones realizadas frente a los errores encontrados en los módulos de facturación y cartera.")</f>
        <v>Se anexa evidencias de las gestiones realizadas frente a los errores encontrados en los módulos de facturación y cartera.</v>
      </c>
      <c r="F8" s="0" t="str">
        <f aca="false">IFERROR(__xludf.dummyfunction("""COMPUTED_VALUE"""),"Completo")</f>
        <v>Completo</v>
      </c>
      <c r="G8" s="0" t="str">
        <f aca="false">IFERROR(__xludf.dummyfunction("""COMPUTED_VALUE"""),"https://drive.google.com/open?id=1u9VZwiJlPnWopN9OWcf3fJXAfDMJLa0h, https://drive.google.com/open?id=1sRq1o2kF8L4XrrPHeJ6Bs7ie4JESF4Ww, https://drive.google.com/open?id=1KvdkpZmorjduheHUh08iKY9RAdU2Na32, https://drive.google.com/open?id=1gsYo2h13TgQi8lbdH"&amp;"jodcRmYABjUJMcK, https://drive.google.com/open?id=1D8ag-IFIVqhK8PggEEZ_3WxETJkxWpn_")</f>
        <v>https://drive.google.com/open?id=1u9VZwiJlPnWopN9OWcf3fJXAfDMJLa0h, https://drive.google.com/open?id=1sRq1o2kF8L4XrrPHeJ6Bs7ie4JESF4Ww, https://drive.google.com/open?id=1KvdkpZmorjduheHUh08iKY9RAdU2Na32, https://drive.google.com/open?id=1gsYo2h13TgQi8lbdHjodcRmYABjUJMcK, https://drive.google.com/open?id=1D8ag-IFIVqhK8PggEEZ_3WxETJkxWpn_</v>
      </c>
    </row>
    <row r="9" customFormat="false" ht="14.25" hidden="false" customHeight="false" outlineLevel="0" collapsed="false">
      <c r="A9" s="18" t="str">
        <f aca="false">IFERROR(MID(D9,1,FIND("|",D9)-1)&amp;"-"&amp;C9,"")</f>
        <v>AICI201804-6-6-1</v>
      </c>
      <c r="B9" s="19" t="n">
        <f aca="false">IFERROR(__xludf.dummyfunction("""COMPUTED_VALUE"""),43556)</f>
        <v>43556</v>
      </c>
      <c r="C9" s="0" t="n">
        <f aca="false">IFERROR(__xludf.dummyfunction("""COMPUTED_VALUE"""),1)</f>
        <v>1</v>
      </c>
      <c r="D9" s="0" t="str">
        <f aca="false">IFERROR(__xludf.dummyfunction("""COMPUTED_VALUE"""),"AICI201804-6-6| Diseñar, socializar e implementar el procedimiento de auditoria de cuentas con enfoque en pertinencia medica y facturación adecuada de medicamentos e insumos. - 28/02/2019")</f>
        <v>AICI201804-6-6| Diseñar, socializar e implementar el procedimiento de auditoria de cuentas con enfoque en pertinencia medica y facturación adecuada de medicamentos e insumos. - 28/02/2019</v>
      </c>
      <c r="E9" s="0" t="str">
        <f aca="false">IFERROR(__xludf.dummyfunction("""COMPUTED_VALUE"""),"No se anexa  el procedimiento y  su socialización  de auditoria de cuentas con enfoque en pertinencia médica y facturación adecuada de medicamentos e insumos")</f>
        <v>No se anexa  el procedimiento y  su socialización  de auditoria de cuentas con enfoque en pertinencia médica y facturación adecuada de medicamentos e insumos</v>
      </c>
      <c r="F9" s="0" t="str">
        <f aca="false">IFERROR(__xludf.dummyfunction("""COMPUTED_VALUE"""),"Atrasado")</f>
        <v>Atrasado</v>
      </c>
      <c r="G9" s="0" t="str">
        <f aca="false">IFERROR(__xludf.dummyfunction("""COMPUTED_VALUE"""),"https://drive.google.com/open?id=1TbalSIp-nyDBMVFqNA6nt1_fv6QnIpWg, https://drive.google.com/open?id=1STiTetkB6-pjDGDbOStBqbEgqAMuhvEW, https://drive.google.com/open?id=1PddTJO5hUuwUtmQwZtOIk4vXjKtcvngs, https://drive.google.com/open?id=1po7d5FHX6Pwi6jA00"&amp;"F9WJQzOvBxgVBpR, https://drive.google.com/open?id=1weauHW5KSSWyGzT-laXcOhmSgHiHI0bS")</f>
        <v>https://drive.google.com/open?id=1TbalSIp-nyDBMVFqNA6nt1_fv6QnIpWg, https://drive.google.com/open?id=1STiTetkB6-pjDGDbOStBqbEgqAMuhvEW, https://drive.google.com/open?id=1PddTJO5hUuwUtmQwZtOIk4vXjKtcvngs, https://drive.google.com/open?id=1po7d5FHX6Pwi6jA00F9WJQzOvBxgVBpR, https://drive.google.com/open?id=1weauHW5KSSWyGzT-laXcOhmSgHiHI0bS</v>
      </c>
    </row>
    <row r="10" customFormat="false" ht="14.25" hidden="false" customHeight="false" outlineLevel="0" collapsed="false">
      <c r="A10" s="18" t="str">
        <f aca="false">IFERROR(MID(D10,1,FIND("|",D10)-1)&amp;"-"&amp;C10,"")</f>
        <v>AICI201804-7-7-1</v>
      </c>
      <c r="B10" s="19" t="n">
        <f aca="false">IFERROR(__xludf.dummyfunction("""COMPUTED_VALUE"""),43556)</f>
        <v>43556</v>
      </c>
      <c r="C10" s="0" t="n">
        <f aca="false">IFERROR(__xludf.dummyfunction("""COMPUTED_VALUE"""),1)</f>
        <v>1</v>
      </c>
      <c r="D10" s="0" t="str">
        <f aca="false">IFERROR(__xludf.dummyfunction("""COMPUTED_VALUE"""),"AICI201804-7-7| Implementar el Anexo 8 de la Resolución 3047 de 2008, en lo que corresponde a la Subred Integrada de Servicios de Salud Norte E.S.E., a través de un reporte por el sistema de información - 31/12/2019")</f>
        <v>AICI201804-7-7| Implementar el Anexo 8 de la Resolución 3047 de 2008, en lo que corresponde a la Subred Integrada de Servicios de Salud Norte E.S.E., a través de un reporte por el sistema de información - 31/12/2019</v>
      </c>
      <c r="E10" s="0" t="str">
        <f aca="false">IFERROR(__xludf.dummyfunction("""COMPUTED_VALUE"""),"En los soportes anexados no se evidencia la puesta en marcha y el funcionamiento del reporte a través del sistema de información.")</f>
        <v>En los soportes anexados no se evidencia la puesta en marcha y el funcionamiento del reporte a través del sistema de información.</v>
      </c>
      <c r="F10" s="0" t="str">
        <f aca="false">IFERROR(__xludf.dummyfunction("""COMPUTED_VALUE"""),"En desarrollo")</f>
        <v>En desarrollo</v>
      </c>
      <c r="G10" s="0" t="str">
        <f aca="false">IFERROR(__xludf.dummyfunction("""COMPUTED_VALUE"""),"https://drive.google.com/open?id=1wK_fvwU8ofzMR2NdlJpxmtseskZr1ugH, https://drive.google.com/open?id=1aA04dTxhCCbbeq934Bt0yNeupr3n3oYT, https://drive.google.com/open?id=11KGNTRwiDANTx3TfUs4CQvAjV42CyqXC, https://drive.google.com/open?id=1QBPNNOgTN6ypDZifu"&amp;"n7UVdqtoOqQTcmP, https://drive.google.com/open?id=1d3w82t-PDavk-L4atn7MKhrLUO58TcWF")</f>
        <v>https://drive.google.com/open?id=1wK_fvwU8ofzMR2NdlJpxmtseskZr1ugH, https://drive.google.com/open?id=1aA04dTxhCCbbeq934Bt0yNeupr3n3oYT, https://drive.google.com/open?id=11KGNTRwiDANTx3TfUs4CQvAjV42CyqXC, https://drive.google.com/open?id=1QBPNNOgTN6ypDZifun7UVdqtoOqQTcmP, https://drive.google.com/open?id=1d3w82t-PDavk-L4atn7MKhrLUO58TcWF</v>
      </c>
    </row>
    <row r="11" customFormat="false" ht="14.25" hidden="false" customHeight="false" outlineLevel="0" collapsed="false">
      <c r="A11" s="18" t="str">
        <f aca="false">IFERROR(MID(D11,1,FIND("|",D11)-1)&amp;"-"&amp;C11,"")</f>
        <v>AICI201804-8-8-1</v>
      </c>
      <c r="B11" s="19" t="n">
        <f aca="false">IFERROR(__xludf.dummyfunction("""COMPUTED_VALUE"""),43556)</f>
        <v>43556</v>
      </c>
      <c r="C11" s="0" t="n">
        <f aca="false">IFERROR(__xludf.dummyfunction("""COMPUTED_VALUE"""),1)</f>
        <v>1</v>
      </c>
      <c r="D11" s="0" t="str">
        <f aca="false">IFERROR(__xludf.dummyfunction("""COMPUTED_VALUE"""),"AICI201804-8-8| Determinar la estructura del reporte del información para ser generado por el sistema institucional. - 20/02/2019")</f>
        <v>AICI201804-8-8| Determinar la estructura del reporte del información para ser generado por el sistema institucional. - 20/02/2019</v>
      </c>
      <c r="E11" s="0" t="str">
        <f aca="false">IFERROR(__xludf.dummyfunction("""COMPUTED_VALUE"""),"No se evidencia modificaciones que subsanen los riesgos evidenciados en el hallazgos.")</f>
        <v>No se evidencia modificaciones que subsanen los riesgos evidenciados en el hallazgos.</v>
      </c>
      <c r="F11" s="0" t="str">
        <f aca="false">IFERROR(__xludf.dummyfunction("""COMPUTED_VALUE"""),"Atrasado")</f>
        <v>Atrasado</v>
      </c>
      <c r="G11" s="0" t="str">
        <f aca="false">IFERROR(__xludf.dummyfunction("""COMPUTED_VALUE"""),"https://drive.google.com/open?id=1ZYm_NvQ-DvBTjrZ1ZTutYvnmWfqHw8hM, https://drive.google.com/open?id=1Ip9YIa8gTRHAcJNNgxa_fiLqtZ88fp8_, https://drive.google.com/open?id=1V3lKglwUD3sGyh9p2Xrdm_wNwYUwjRTc, https://drive.google.com/open?id=1EkMa-6f1jINvg3FuR"&amp;"GGKGJ1Y48VJoc8o, https://drive.google.com/open?id=1Nz4ns5fpzc8bhSl4aUuA0jsl3a25ulL0")</f>
        <v>https://drive.google.com/open?id=1ZYm_NvQ-DvBTjrZ1ZTutYvnmWfqHw8hM, https://drive.google.com/open?id=1Ip9YIa8gTRHAcJNNgxa_fiLqtZ88fp8_, https://drive.google.com/open?id=1V3lKglwUD3sGyh9p2Xrdm_wNwYUwjRTc, https://drive.google.com/open?id=1EkMa-6f1jINvg3FuRGGKGJ1Y48VJoc8o, https://drive.google.com/open?id=1Nz4ns5fpzc8bhSl4aUuA0jsl3a25ulL0</v>
      </c>
    </row>
    <row r="12" customFormat="false" ht="14.25" hidden="false" customHeight="false" outlineLevel="0" collapsed="false">
      <c r="A12" s="18" t="str">
        <f aca="false">IFERROR(MID(D12,1,FIND("|",D12)-1)&amp;"-"&amp;C12,"")</f>
        <v>AICI201804-9-9-1</v>
      </c>
      <c r="B12" s="19" t="n">
        <f aca="false">IFERROR(__xludf.dummyfunction("""COMPUTED_VALUE"""),43556)</f>
        <v>43556</v>
      </c>
      <c r="C12" s="0" t="n">
        <f aca="false">IFERROR(__xludf.dummyfunction("""COMPUTED_VALUE"""),1)</f>
        <v>1</v>
      </c>
      <c r="D12" s="0" t="str">
        <f aca="false">IFERROR(__xludf.dummyfunction("""COMPUTED_VALUE"""),"AICI201804-9-9| Diseñar, socializar e implementar los procedimientos institucionales de unificación de historias clínicas y anulación de historias clínicas - 30/03/2019")</f>
        <v>AICI201804-9-9| Diseñar, socializar e implementar los procedimientos institucionales de unificación de historias clínicas y anulación de historias clínicas - 30/03/2019</v>
      </c>
      <c r="E12" s="0" t="str">
        <f aca="false">IFERROR(__xludf.dummyfunction("""COMPUTED_VALUE"""),"No se anexa la creación procedimiento institucional de unificación de historias clínicas y anulación de historias clínicas")</f>
        <v>No se anexa la creación procedimiento institucional de unificación de historias clínicas y anulación de historias clínicas</v>
      </c>
      <c r="F12" s="0" t="str">
        <f aca="false">IFERROR(__xludf.dummyfunction("""COMPUTED_VALUE"""),"Atrasado")</f>
        <v>Atrasado</v>
      </c>
      <c r="G12" s="0" t="str">
        <f aca="false">IFERROR(__xludf.dummyfunction("""COMPUTED_VALUE"""),"https://drive.google.com/open?id=1hOh7An3t142T3obz6nnMt9XJmw0Wu03f, https://drive.google.com/open?id=1U3ToHM3ZO3JwsfJchXrbJmNq5mRRzCqT, https://drive.google.com/open?id=17_-iT7KHMrdUHhrwO-ZoEXQfs55aFPNC")</f>
        <v>https://drive.google.com/open?id=1hOh7An3t142T3obz6nnMt9XJmw0Wu03f, https://drive.google.com/open?id=1U3ToHM3ZO3JwsfJchXrbJmNq5mRRzCqT, https://drive.google.com/open?id=17_-iT7KHMrdUHhrwO-ZoEXQfs55aFPNC</v>
      </c>
    </row>
    <row r="13" customFormat="false" ht="14.25" hidden="false" customHeight="false" outlineLevel="0" collapsed="false">
      <c r="A13" s="18" t="str">
        <f aca="false">IFERROR(MID(D13,1,FIND("|",D13)-1)&amp;"-"&amp;C13,"")</f>
        <v>AICI201804-10-10-1</v>
      </c>
      <c r="B13" s="19" t="n">
        <f aca="false">IFERROR(__xludf.dummyfunction("""COMPUTED_VALUE"""),43556)</f>
        <v>43556</v>
      </c>
      <c r="C13" s="0" t="n">
        <f aca="false">IFERROR(__xludf.dummyfunction("""COMPUTED_VALUE"""),1)</f>
        <v>1</v>
      </c>
      <c r="D13" s="0" t="str">
        <f aca="false">IFERROR(__xludf.dummyfunction("""COMPUTED_VALUE"""),"AICI201804-10-10| Diseñar, socializar e implementar el plan de contingencia cuando se presentan problemas de conexión y fallos eléctricos y demás eventualidades - 28/02/2019")</f>
        <v>AICI201804-10-10| Diseñar, socializar e implementar el plan de contingencia cuando se presentan problemas de conexión y fallos eléctricos y demás eventualidades - 28/02/2019</v>
      </c>
      <c r="E13" s="0" t="str">
        <f aca="false">IFERROR(__xludf.dummyfunction("""COMPUTED_VALUE"""),"Existe  Instructivo plan de contingencia facturación con generación de factura manual y legalización de la misma en el sistema de información.  Se recomienda anexar la evidencias de su socialización.")</f>
        <v>Existe  Instructivo plan de contingencia facturación con generación de factura manual y legalización de la misma en el sistema de información.  Se recomienda anexar la evidencias de su socialización.</v>
      </c>
      <c r="F13" s="0" t="str">
        <f aca="false">IFERROR(__xludf.dummyfunction("""COMPUTED_VALUE"""),"En desarrollo")</f>
        <v>En desarrollo</v>
      </c>
      <c r="G13" s="20" t="str">
        <f aca="false">IFERROR(__xludf.dummyfunction("""COMPUTED_VALUE"""),"https://drive.google.com/open?id=1CRtk6TNcNElUxWC3pOdmYLKPJX936B7E")</f>
        <v>https://drive.google.com/open?id=1CRtk6TNcNElUxWC3pOdmYLKPJX936B7E</v>
      </c>
    </row>
    <row r="14" customFormat="false" ht="14.25" hidden="false" customHeight="false" outlineLevel="0" collapsed="false">
      <c r="A14" s="18" t="str">
        <f aca="false">IFERROR(MID(D14,1,FIND("|",D14)-1)&amp;"-"&amp;C14,"")</f>
        <v>AICI201804-11-11-1</v>
      </c>
      <c r="B14" s="19" t="n">
        <f aca="false">IFERROR(__xludf.dummyfunction("""COMPUTED_VALUE"""),43556)</f>
        <v>43556</v>
      </c>
      <c r="C14" s="0" t="n">
        <f aca="false">IFERROR(__xludf.dummyfunction("""COMPUTED_VALUE"""),1)</f>
        <v>1</v>
      </c>
      <c r="D14" s="0" t="str">
        <f aca="false">IFERROR(__xludf.dummyfunction("""COMPUTED_VALUE"""),"AICI201804-11-11| Desarrollar en conjunto con sistemas el reporte de trazabilidad de facturas en el caso de devoluciones y glosas - 30/04/2019")</f>
        <v>AICI201804-11-11| Desarrollar en conjunto con sistemas el reporte de trazabilidad de facturas en el caso de devoluciones y glosas - 30/04/2019</v>
      </c>
      <c r="E14" s="0" t="str">
        <f aca="false">IFERROR(__xludf.dummyfunction("""COMPUTED_VALUE"""),"Existe desarrollo del aplicativo de acuerdo a los pantallazos enviados, sin embargo no son claros para el seguimiento.")</f>
        <v>Existe desarrollo del aplicativo de acuerdo a los pantallazos enviados, sin embargo no son claros para el seguimiento.</v>
      </c>
      <c r="F14" s="0" t="str">
        <f aca="false">IFERROR(__xludf.dummyfunction("""COMPUTED_VALUE"""),"En desarrollo")</f>
        <v>En desarrollo</v>
      </c>
      <c r="G14" s="20" t="str">
        <f aca="false">IFERROR(__xludf.dummyfunction("""COMPUTED_VALUE"""),"https://drive.google.com/open?id=13tSj1lckHfNil8gpJXCeBtmVjqHjTD5A")</f>
        <v>https://drive.google.com/open?id=13tSj1lckHfNil8gpJXCeBtmVjqHjTD5A</v>
      </c>
    </row>
    <row r="15" customFormat="false" ht="14.25" hidden="false" customHeight="false" outlineLevel="0" collapsed="false">
      <c r="A15" s="18" t="str">
        <f aca="false">IFERROR(MID(D15,1,FIND("|",D15)-1)&amp;"-"&amp;C15,"")</f>
        <v>AICI201804-12-12-1</v>
      </c>
      <c r="B15" s="19" t="n">
        <f aca="false">IFERROR(__xludf.dummyfunction("""COMPUTED_VALUE"""),43556)</f>
        <v>43556</v>
      </c>
      <c r="C15" s="0" t="n">
        <f aca="false">IFERROR(__xludf.dummyfunction("""COMPUTED_VALUE"""),1)</f>
        <v>1</v>
      </c>
      <c r="D15" s="0" t="str">
        <f aca="false">IFERROR(__xludf.dummyfunction("""COMPUTED_VALUE"""),"AICI201804-12-12| Conciliar de forma mensual entre facturación y cartera de los pagares generados Vs. Los pagares físicos entregados a cartera Respecto al saldo presentado será presentado al comité de saneamiento contable para las acciones pertinentes - 3"&amp;"1/12/2019")</f>
        <v>AICI201804-12-12| Conciliar de forma mensual entre facturación y cartera de los pagares generados Vs. Los pagares físicos entregados a cartera Respecto al saldo presentado será presentado al comité de saneamiento contable para las acciones pertinentes - 31/12/2019</v>
      </c>
      <c r="E15" s="0" t="str">
        <f aca="false">IFERROR(__xludf.dummyfunction("""COMPUTED_VALUE"""),"Se evidencias conciliaciones en los meses de enero y febrero de 2019 y en cuanto a la diferencia descrita en el hallazgo por valor de  $1.217.684.353. no se  reporta el desarrollo la acción propuesta.")</f>
        <v>Se evidencias conciliaciones en los meses de enero y febrero de 2019 y en cuanto a la diferencia descrita en el hallazgo por valor de  $1.217.684.353. no se  reporta el desarrollo la acción propuesta.</v>
      </c>
      <c r="F15" s="0" t="str">
        <f aca="false">IFERROR(__xludf.dummyfunction("""COMPUTED_VALUE"""),"En desarrollo")</f>
        <v>En desarrollo</v>
      </c>
      <c r="G15" s="0" t="str">
        <f aca="false">IFERROR(__xludf.dummyfunction("""COMPUTED_VALUE"""),"https://drive.google.com/open?id=1oYw7KCqB8S_GpxNh1nxhQ7XpfdoTCSOU, https://drive.google.com/open?id=13fkS7to_Z-fWEnps3JimnYloi12j2AzI")</f>
        <v>https://drive.google.com/open?id=1oYw7KCqB8S_GpxNh1nxhQ7XpfdoTCSOU, https://drive.google.com/open?id=13fkS7to_Z-fWEnps3JimnYloi12j2AzI</v>
      </c>
    </row>
    <row r="16" customFormat="false" ht="14.25" hidden="false" customHeight="false" outlineLevel="0" collapsed="false">
      <c r="A16" s="18" t="str">
        <f aca="false">IFERROR(MID(D16,1,FIND("|",D16)-1)&amp;"-"&amp;C16,"")</f>
        <v>AICI201804-13-13-1</v>
      </c>
      <c r="B16" s="19" t="n">
        <f aca="false">IFERROR(__xludf.dummyfunction("""COMPUTED_VALUE"""),43556)</f>
        <v>43556</v>
      </c>
      <c r="C16" s="0" t="n">
        <f aca="false">IFERROR(__xludf.dummyfunction("""COMPUTED_VALUE"""),1)</f>
        <v>1</v>
      </c>
      <c r="D16" s="0" t="str">
        <f aca="false">IFERROR(__xludf.dummyfunction("""COMPUTED_VALUE"""),"AICI201804-13-13| Remitir a la oficina de Control Disciplinario los expedientes que soportan el saneamiento de los pagares por valor de $5.372.399.016, resultado del Comité de Saneamiento realizado según acta No. 3 del 25 de mayo de 2018. - 31/01/2019")</f>
        <v>AICI201804-13-13| Remitir a la oficina de Control Disciplinario los expedientes que soportan el saneamiento de los pagares por valor de $5.372.399.016, resultado del Comité de Saneamiento realizado según acta No. 3 del 25 de mayo de 2018. - 31/01/2019</v>
      </c>
      <c r="E16" s="0" t="str">
        <f aca="false">IFERROR(__xludf.dummyfunction("""COMPUTED_VALUE"""),"Se evidencia que se realizó gestión descrita en la acción propuesta de acuerdo a los soporte enviados.")</f>
        <v>Se evidencia que se realizó gestión descrita en la acción propuesta de acuerdo a los soporte enviados.</v>
      </c>
      <c r="F16" s="0" t="str">
        <f aca="false">IFERROR(__xludf.dummyfunction("""COMPUTED_VALUE"""),"Completo")</f>
        <v>Completo</v>
      </c>
      <c r="G16" s="0" t="str">
        <f aca="false">IFERROR(__xludf.dummyfunction("""COMPUTED_VALUE"""),"https://drive.google.com/open?id=12pc7xMzyQcBsa5AcrWuKS4KvYe67pasR, https://drive.google.com/open?id=1GbcnzdQm97ElC_k292UQQJzBCOkBpNPv, https://drive.google.com/open?id=1PzoW-0CIxxVxQ1YE7nvoastzaBp-djkK")</f>
        <v>https://drive.google.com/open?id=12pc7xMzyQcBsa5AcrWuKS4KvYe67pasR, https://drive.google.com/open?id=1GbcnzdQm97ElC_k292UQQJzBCOkBpNPv, https://drive.google.com/open?id=1PzoW-0CIxxVxQ1YE7nvoastzaBp-djkK</v>
      </c>
    </row>
    <row r="17" customFormat="false" ht="14.25" hidden="false" customHeight="false" outlineLevel="0" collapsed="false">
      <c r="A17" s="18" t="str">
        <f aca="false">IFERROR(MID(D17,1,FIND("|",D17)-1)&amp;"-"&amp;C17,"")</f>
        <v>AICI201804-14-14-1</v>
      </c>
      <c r="B17" s="19" t="n">
        <f aca="false">IFERROR(__xludf.dummyfunction("""COMPUTED_VALUE"""),43556)</f>
        <v>43556</v>
      </c>
      <c r="C17" s="0" t="n">
        <f aca="false">IFERROR(__xludf.dummyfunction("""COMPUTED_VALUE"""),1)</f>
        <v>1</v>
      </c>
      <c r="D17" s="0" t="str">
        <f aca="false">IFERROR(__xludf.dummyfunction("""COMPUTED_VALUE"""),"AICI201804-14-14| Radicar a 31 de diciembre de 2018 el 80% de la facturación correspondiente a la vigencia 2017, cuyos conceptos relevantes son: pendientes RIPS y pendientes autorizaciones. - 31/12/2019")</f>
        <v>AICI201804-14-14| Radicar a 31 de diciembre de 2018 el 80% de la facturación correspondiente a la vigencia 2017, cuyos conceptos relevantes son: pendientes RIPS y pendientes autorizaciones. - 31/12/2019</v>
      </c>
      <c r="E17" s="0" t="str">
        <f aca="false">IFERROR(__xludf.dummyfunction("""COMPUTED_VALUE"""),"Se requiere el comprobante de radiación de la facturación pendiente a diciembre 31 de 2017 que hace referencia al 80% de radicar.")</f>
        <v>Se requiere el comprobante de radiación de la facturación pendiente a diciembre 31 de 2017 que hace referencia al 80% de radicar.</v>
      </c>
      <c r="F17" s="0" t="str">
        <f aca="false">IFERROR(__xludf.dummyfunction("""COMPUTED_VALUE"""),"En desarrollo")</f>
        <v>En desarrollo</v>
      </c>
      <c r="G17" s="20" t="str">
        <f aca="false">IFERROR(__xludf.dummyfunction("""COMPUTED_VALUE"""),"https://drive.google.com/open?id=1xqEgpuCoB8xFysOwPZcsiIMqknJ-qXGM")</f>
        <v>https://drive.google.com/open?id=1xqEgpuCoB8xFysOwPZcsiIMqknJ-qXGM</v>
      </c>
    </row>
    <row r="18" customFormat="false" ht="14.25" hidden="false" customHeight="false" outlineLevel="0" collapsed="false">
      <c r="A18" s="18" t="str">
        <f aca="false">IFERROR(MID(D18,1,FIND("|",D18)-1)&amp;"-"&amp;C18,"")</f>
        <v>AICI201804-14-15-1</v>
      </c>
      <c r="B18" s="19" t="n">
        <f aca="false">IFERROR(__xludf.dummyfunction("""COMPUTED_VALUE"""),43556)</f>
        <v>43556</v>
      </c>
      <c r="C18" s="0" t="n">
        <f aca="false">IFERROR(__xludf.dummyfunction("""COMPUTED_VALUE"""),1)</f>
        <v>1</v>
      </c>
      <c r="D18" s="0" t="str">
        <f aca="false">IFERROR(__xludf.dummyfunction("""COMPUTED_VALUE"""),"AICI201804-14-15| Frente al 20% restante se adelantaran las gestiones administrativas a que haya lugar para continuar el tramite de radicación. - 31/12/2019")</f>
        <v>AICI201804-14-15| Frente al 20% restante se adelantaran las gestiones administrativas a que haya lugar para continuar el tramite de radicación. - 31/12/2019</v>
      </c>
      <c r="E18" s="0" t="str">
        <f aca="false">IFERROR(__xludf.dummyfunction("""COMPUTED_VALUE"""),"Se evidencia gestiones administrativas frente a la facturación pendiente por radicar, ")</f>
        <v>Se evidencia gestiones administrativas frente a la facturación pendiente por radicar, </v>
      </c>
      <c r="F18" s="0" t="str">
        <f aca="false">IFERROR(__xludf.dummyfunction("""COMPUTED_VALUE"""),"Completo")</f>
        <v>Completo</v>
      </c>
    </row>
    <row r="19" customFormat="false" ht="14.25" hidden="false" customHeight="false" outlineLevel="0" collapsed="false">
      <c r="A19" s="18" t="str">
        <f aca="false">IFERROR(MID(D19,1,FIND("|",D19)-1)&amp;"-"&amp;C19,"")</f>
        <v>AICI201804-14-16-1</v>
      </c>
      <c r="B19" s="19" t="n">
        <f aca="false">IFERROR(__xludf.dummyfunction("""COMPUTED_VALUE"""),43556)</f>
        <v>43556</v>
      </c>
      <c r="C19" s="0" t="n">
        <f aca="false">IFERROR(__xludf.dummyfunction("""COMPUTED_VALUE"""),1)</f>
        <v>1</v>
      </c>
      <c r="D19" s="0" t="str">
        <f aca="false">IFERROR(__xludf.dummyfunction("""COMPUTED_VALUE"""),"AICI201804-14-16| Notificar a las Entidades de Vigilancia y Control las situaciones presentadas con las EPS frente a la no generación de autorizaciones y recepción de cuentas con 3 envíos como lo establece la normatividad vigente. - 31/12/2019")</f>
        <v>AICI201804-14-16| Notificar a las Entidades de Vigilancia y Control las situaciones presentadas con las EPS frente a la no generación de autorizaciones y recepción de cuentas con 3 envíos como lo establece la normatividad vigente. - 31/12/2019</v>
      </c>
      <c r="E19" s="0" t="str">
        <f aca="false">IFERROR(__xludf.dummyfunction("""COMPUTED_VALUE"""),"No se observa soportes  de evidencia notificaciones a las  Entidades de vigilancia  y Control las situaciones presentadas con las EPS frente a la no generación de autorizaciones y recepción de cuentas.")</f>
        <v>No se observa soportes  de evidencia notificaciones a las  Entidades de vigilancia  y Control las situaciones presentadas con las EPS frente a la no generación de autorizaciones y recepción de cuentas.</v>
      </c>
      <c r="F19" s="0" t="str">
        <f aca="false">IFERROR(__xludf.dummyfunction("""COMPUTED_VALUE"""),"En desarrollo")</f>
        <v>En desarrollo</v>
      </c>
      <c r="G19" s="0" t="str">
        <f aca="false">IFERROR(__xludf.dummyfunction("""COMPUTED_VALUE"""),"https://drive.google.com/open?id=18qENfZDi-RdoSqEWrTWXSFul3LgPGNHK, https://drive.google.com/open?id=1TKSeAcV8yLDGid7X5Gg4VoBB3s4VnqcO, https://drive.google.com/open?id=1euWnO6bAGMFEy1I5qeZKe5SC0L922_BJ, https://drive.google.com/open?id=1Elak-3Iooz_tuKtYH"&amp;"61s2DfiY2oCRP9O, https://drive.google.com/open?id=1v9tM5HcWZHNPIeXKLxs3MDACngvn0oXh")</f>
        <v>https://drive.google.com/open?id=18qENfZDi-RdoSqEWrTWXSFul3LgPGNHK, https://drive.google.com/open?id=1TKSeAcV8yLDGid7X5Gg4VoBB3s4VnqcO, https://drive.google.com/open?id=1euWnO6bAGMFEy1I5qeZKe5SC0L922_BJ, https://drive.google.com/open?id=1Elak-3Iooz_tuKtYH61s2DfiY2oCRP9O, https://drive.google.com/open?id=1v9tM5HcWZHNPIeXKLxs3MDACngvn0oXh</v>
      </c>
    </row>
    <row r="20" customFormat="false" ht="14.25" hidden="false" customHeight="false" outlineLevel="0" collapsed="false">
      <c r="A20" s="18" t="str">
        <f aca="false">IFERROR(MID(D20,1,FIND("|",D20)-1)&amp;"-"&amp;C20,"")</f>
        <v>AICI201804-15-17-1</v>
      </c>
      <c r="B20" s="19" t="n">
        <f aca="false">IFERROR(__xludf.dummyfunction("""COMPUTED_VALUE"""),43556)</f>
        <v>43556</v>
      </c>
      <c r="C20" s="0" t="n">
        <f aca="false">IFERROR(__xludf.dummyfunction("""COMPUTED_VALUE"""),1)</f>
        <v>1</v>
      </c>
      <c r="D20" s="0" t="str">
        <f aca="false">IFERROR(__xludf.dummyfunction("""COMPUTED_VALUE"""),"AICI201804-15-17| Diseñar, socializar e implementar el procedimiento de auditoria de cuentas con enfoque en pertinencia medica y facturación adecuada de medicamentos e insumos. - 28/02/2019")</f>
        <v>AICI201804-15-17| Diseñar, socializar e implementar el procedimiento de auditoria de cuentas con enfoque en pertinencia medica y facturación adecuada de medicamentos e insumos. - 28/02/2019</v>
      </c>
      <c r="E20" s="0" t="str">
        <f aca="false">IFERROR(__xludf.dummyfunction("""COMPUTED_VALUE"""),"No se anexa la creación procedimiento institucional de unificación de historias clínicas y anulación de historias clínicas . ")</f>
        <v>No se anexa la creación procedimiento institucional de unificación de historias clínicas y anulación de historias clínicas . </v>
      </c>
      <c r="F20" s="0" t="str">
        <f aca="false">IFERROR(__xludf.dummyfunction("""COMPUTED_VALUE"""),"Atrasado")</f>
        <v>Atrasado</v>
      </c>
    </row>
    <row r="21" customFormat="false" ht="14.25" hidden="false" customHeight="false" outlineLevel="0" collapsed="false">
      <c r="A21" s="18" t="str">
        <f aca="false">IFERROR(MID(D21,1,FIND("|",D21)-1)&amp;"-"&amp;C21,"")</f>
        <v>AICI201804-2-2-2</v>
      </c>
      <c r="B21" s="19" t="n">
        <f aca="false">IFERROR(__xludf.dummyfunction("""COMPUTED_VALUE"""),43749)</f>
        <v>43749</v>
      </c>
      <c r="C21" s="0" t="n">
        <f aca="false">IFERROR(__xludf.dummyfunction("""COMPUTED_VALUE"""),2)</f>
        <v>2</v>
      </c>
      <c r="D21" s="0" t="str">
        <f aca="false">IFERROR(__xludf.dummyfunction("""COMPUTED_VALUE"""),"AICI201804-2-2| Diseñar, socializar, implementar y realizar seguimiento trimestral del procedimiento de parametrización de contratos en el en el módulo del sistema Clinical Swiff. - 31/12/2019")</f>
        <v>AICI201804-2-2| Diseñar, socializar, implementar y realizar seguimiento trimestral del procedimiento de parametrización de contratos en el en el módulo del sistema Clinical Swiff. - 31/12/2019</v>
      </c>
      <c r="E21" s="0" t="str">
        <f aca="false">IFERROR(__xludf.dummyfunction("""COMPUTED_VALUE"""),"Para el segundo seguimiento se presentaron actas de socialización de los instructivos del área de facturación realizados el 7 de marzo  y  23 de septiembre de 2019. Mercadeo debe presentar informe trimestral de las auditorias realizadas de acuerdo con el "&amp;"procedimiento AP-GF-I-19-01. Soportes en físico reposan en la oficina de Dirección Financiera / Facturación.")</f>
        <v>Para el segundo seguimiento se presentaron actas de socialización de los instructivos del área de facturación realizados el 7 de marzo  y  23 de septiembre de 2019. Mercadeo debe presentar informe trimestral de las auditorias realizadas de acuerdo con el procedimiento AP-GF-I-19-01. Soportes en físico reposan en la oficina de Dirección Financiera / Facturación.</v>
      </c>
      <c r="F21" s="0" t="str">
        <f aca="false">IFERROR(__xludf.dummyfunction("""COMPUTED_VALUE"""),"En desarrollo")</f>
        <v>En desarrollo</v>
      </c>
    </row>
    <row r="22" customFormat="false" ht="14.25" hidden="false" customHeight="false" outlineLevel="0" collapsed="false">
      <c r="A22" s="18" t="str">
        <f aca="false">IFERROR(MID(D22,1,FIND("|",D22)-1)&amp;"-"&amp;C22,"")</f>
        <v>AICI201804-3-3-2</v>
      </c>
      <c r="B22" s="19" t="n">
        <f aca="false">IFERROR(__xludf.dummyfunction("""COMPUTED_VALUE"""),43749)</f>
        <v>43749</v>
      </c>
      <c r="C22" s="0" t="n">
        <f aca="false">IFERROR(__xludf.dummyfunction("""COMPUTED_VALUE"""),2)</f>
        <v>2</v>
      </c>
      <c r="D22" s="0" t="str">
        <f aca="false">IFERROR(__xludf.dummyfunction("""COMPUTED_VALUE"""),"AICI201804-3-3| Realizar seguimiento trimestral a los contratos suscritos con el FFDS, incluyendo PIC y convenios, desde el punto de vista financiero , teniendo en cuenta que la supervisión de los contratos del FFDS y los convenios tienen delegación de su"&amp;"pervisión desde la Gerencia. - 30/01/2020")</f>
        <v>AICI201804-3-3| Realizar seguimiento trimestral a los contratos suscritos con el FFDS, incluyendo PIC y convenios, desde el punto de vista financiero , teniendo en cuenta que la supervisión de los contratos del FFDS y los convenios tienen delegación de supervisión desde la Gerencia. - 30/01/2020</v>
      </c>
      <c r="E22" s="0" t="str">
        <f aca="false">IFERROR(__xludf.dummyfunction("""COMPUTED_VALUE"""),"Se realizó seguimiento trimestral a contratos suscritos con el FFDS, de PIC y convenios, desde el punto de vista financiero. (Soportes a marzo 2019). Los soporte reposan en Dirección Financiera / Facturación.")</f>
        <v>Se realizó seguimiento trimestral a contratos suscritos con el FFDS, de PIC y convenios, desde el punto de vista financiero. (Soportes a marzo 2019). Los soporte reposan en Dirección Financiera / Facturación.</v>
      </c>
      <c r="F22" s="0" t="str">
        <f aca="false">IFERROR(__xludf.dummyfunction("""COMPUTED_VALUE"""),"Completo")</f>
        <v>Completo</v>
      </c>
    </row>
    <row r="23" customFormat="false" ht="14.25" hidden="false" customHeight="false" outlineLevel="0" collapsed="false">
      <c r="A23" s="18" t="str">
        <f aca="false">IFERROR(MID(D23,1,FIND("|",D23)-1)&amp;"-"&amp;C23,"")</f>
        <v>AICI201804-4-4-2</v>
      </c>
      <c r="B23" s="19" t="n">
        <f aca="false">IFERROR(__xludf.dummyfunction("""COMPUTED_VALUE"""),43749)</f>
        <v>43749</v>
      </c>
      <c r="C23" s="0" t="n">
        <f aca="false">IFERROR(__xludf.dummyfunction("""COMPUTED_VALUE"""),2)</f>
        <v>2</v>
      </c>
      <c r="D23" s="0" t="str">
        <f aca="false">IFERROR(__xludf.dummyfunction("""COMPUTED_VALUE"""),"AICI201804-4-4| Realizar revisión de los planes de mejoramiento existentes en la vigencia 2018 y darles cumplimiento de acuerdo a las vigencias. - 28/02/2019")</f>
        <v>AICI201804-4-4| Realizar revisión de los planes de mejoramiento existentes en la vigencia 2018 y darles cumplimiento de acuerdo a las vigencias. - 28/02/2019</v>
      </c>
      <c r="E23" s="0" t="str">
        <f aca="false">IFERROR(__xludf.dummyfunction("""COMPUTED_VALUE"""),"Se evidencia el seguimiento realizado  por el área de calidad a través del plan de mejoramiento enviado. Soportes se encuentran en el área de Mercadeo.")</f>
        <v>Se evidencia el seguimiento realizado  por el área de calidad a través del plan de mejoramiento enviado. Soportes se encuentran en el área de Mercadeo.</v>
      </c>
      <c r="F23" s="0" t="str">
        <f aca="false">IFERROR(__xludf.dummyfunction("""COMPUTED_VALUE"""),"Completo")</f>
        <v>Completo</v>
      </c>
    </row>
    <row r="24" customFormat="false" ht="14.25" hidden="false" customHeight="false" outlineLevel="0" collapsed="false">
      <c r="A24" s="18" t="str">
        <f aca="false">IFERROR(MID(D24,1,FIND("|",D24)-1)&amp;"-"&amp;C24,"")</f>
        <v>AICI201804-5-5-2</v>
      </c>
      <c r="B24" s="19" t="n">
        <f aca="false">IFERROR(__xludf.dummyfunction("""COMPUTED_VALUE"""),43749)</f>
        <v>43749</v>
      </c>
      <c r="C24" s="0" t="n">
        <f aca="false">IFERROR(__xludf.dummyfunction("""COMPUTED_VALUE"""),2)</f>
        <v>2</v>
      </c>
      <c r="D24" s="0" t="str">
        <f aca="false">IFERROR(__xludf.dummyfunction("""COMPUTED_VALUE"""),"AICI201804-5-5| Realizar la revisión de reportes generados por el sistema, reportar al proveedor para seguimiento de errores e implementarlos. - 28/05/2019")</f>
        <v>AICI201804-5-5| Realizar la revisión de reportes generados por el sistema, reportar al proveedor para seguimiento de errores e implementarlos. - 28/05/2019</v>
      </c>
      <c r="E24" s="0" t="str">
        <f aca="false">IFERROR(__xludf.dummyfunction("""COMPUTED_VALUE"""),"Se anexa evidencias de las gestiones realizadas frente a los errores encontrados en los módulos de facturación y cartera. Los soportes reposan en Facturación / Cartera.")</f>
        <v>Se anexa evidencias de las gestiones realizadas frente a los errores encontrados en los módulos de facturación y cartera. Los soportes reposan en Facturación / Cartera.</v>
      </c>
      <c r="F24" s="0" t="str">
        <f aca="false">IFERROR(__xludf.dummyfunction("""COMPUTED_VALUE"""),"Completo")</f>
        <v>Completo</v>
      </c>
    </row>
    <row r="25" customFormat="false" ht="14.25" hidden="false" customHeight="false" outlineLevel="0" collapsed="false">
      <c r="A25" s="18" t="str">
        <f aca="false">IFERROR(MID(D25,1,FIND("|",D25)-1)&amp;"-"&amp;C25,"")</f>
        <v>AICI201804-6-6-2</v>
      </c>
      <c r="B25" s="19" t="n">
        <f aca="false">IFERROR(__xludf.dummyfunction("""COMPUTED_VALUE"""),43749)</f>
        <v>43749</v>
      </c>
      <c r="C25" s="0" t="n">
        <f aca="false">IFERROR(__xludf.dummyfunction("""COMPUTED_VALUE"""),2)</f>
        <v>2</v>
      </c>
      <c r="D25" s="0" t="str">
        <f aca="false">IFERROR(__xludf.dummyfunction("""COMPUTED_VALUE"""),"AICI201804-6-6| Diseñar, socializar e implementar el procedimiento de auditoria de cuentas con enfoque en pertinencia medica y facturación adecuada de medicamentos e insumos. - 28/02/2019")</f>
        <v>AICI201804-6-6| Diseñar, socializar e implementar el procedimiento de auditoria de cuentas con enfoque en pertinencia medica y facturación adecuada de medicamentos e insumos. - 28/02/2019</v>
      </c>
      <c r="E25" s="0" t="str">
        <f aca="false">IFERROR(__xludf.dummyfunction("""COMPUTED_VALUE"""),"De acuerdo a lo informado por Financiera,  se diseño el procedimiento de auditoria de cuentas con enfoque en pertinencia medica y facturación adecuada de medicamentos e insumos,  y actualmente se encuentra en el  proceso  de revisión y codificación por pa"&amp;"rte del área de Calidad.")</f>
        <v>De acuerdo a lo informado por Financiera,  se diseño el procedimiento de auditoria de cuentas con enfoque en pertinencia medica y facturación adecuada de medicamentos e insumos,  y actualmente se encuentra en el  proceso  de revisión y codificación por parte del área de Calidad.</v>
      </c>
      <c r="F25" s="0" t="str">
        <f aca="false">IFERROR(__xludf.dummyfunction("""COMPUTED_VALUE"""),"Atrasado")</f>
        <v>Atrasado</v>
      </c>
    </row>
    <row r="26" customFormat="false" ht="14.25" hidden="false" customHeight="false" outlineLevel="0" collapsed="false">
      <c r="A26" s="18" t="str">
        <f aca="false">IFERROR(MID(D26,1,FIND("|",D26)-1)&amp;"-"&amp;C26,"")</f>
        <v>AICI201804-7-7-2</v>
      </c>
      <c r="B26" s="19" t="n">
        <f aca="false">IFERROR(__xludf.dummyfunction("""COMPUTED_VALUE"""),43749)</f>
        <v>43749</v>
      </c>
      <c r="C26" s="0" t="n">
        <f aca="false">IFERROR(__xludf.dummyfunction("""COMPUTED_VALUE"""),2)</f>
        <v>2</v>
      </c>
      <c r="D26" s="0" t="str">
        <f aca="false">IFERROR(__xludf.dummyfunction("""COMPUTED_VALUE"""),"AICI201804-7-7| Implementar el Anexo 8 de la Resolución 3047 de 2008, en lo que corresponde a la Subred Integrada de Servicios de Salud Norte E.S.E., a través de un reporte por el sistema de información - 31/12/2019")</f>
        <v>AICI201804-7-7| Implementar el Anexo 8 de la Resolución 3047 de 2008, en lo que corresponde a la Subred Integrada de Servicios de Salud Norte E.S.E., a través de un reporte por el sistema de información - 31/12/2019</v>
      </c>
      <c r="E26" s="0" t="str">
        <f aca="false">IFERROR(__xludf.dummyfunction("""COMPUTED_VALUE"""),"Se hace entrega de gestión frente a las solicitudes, informes, actas con HIS, para la puesta en marcha del módulo, se espera que en el mes de octubre se pueda verificar en el módulo la trazabilidad de la factura")</f>
        <v>Se hace entrega de gestión frente a las solicitudes, informes, actas con HIS, para la puesta en marcha del módulo, se espera que en el mes de octubre se pueda verificar en el módulo la trazabilidad de la factura</v>
      </c>
      <c r="F26" s="0" t="str">
        <f aca="false">IFERROR(__xludf.dummyfunction("""COMPUTED_VALUE"""),"En desarrollo")</f>
        <v>En desarrollo</v>
      </c>
      <c r="G26" s="0" t="str">
        <f aca="false">IFERROR(__xludf.dummyfunction("""COMPUTED_VALUE"""),"https://drive.google.com/open?id=15nC7bDCK1U7xdhSXPRR-aR66BHxSzymm, https://drive.google.com/open?id=18GChDibJ6d-Tz-N7yUfUJxvkhlZIMsFe, https://drive.google.com/open?id=1a4OVEt7jHQ-ymq3pA7sE8gOzfh2tbhXV, https://drive.google.com/open?id=16PYH8Qw_jMmzJKMm0"&amp;"Ugqj8DtRJQwipnV, https://drive.google.com/open?id=1OvoMW543PdxSyr42GPJRDlIlZIUtJ7op")</f>
        <v>https://drive.google.com/open?id=15nC7bDCK1U7xdhSXPRR-aR66BHxSzymm, https://drive.google.com/open?id=18GChDibJ6d-Tz-N7yUfUJxvkhlZIMsFe, https://drive.google.com/open?id=1a4OVEt7jHQ-ymq3pA7sE8gOzfh2tbhXV, https://drive.google.com/open?id=16PYH8Qw_jMmzJKMm0Ugqj8DtRJQwipnV, https://drive.google.com/open?id=1OvoMW543PdxSyr42GPJRDlIlZIUtJ7op</v>
      </c>
    </row>
    <row r="27" customFormat="false" ht="14.25" hidden="false" customHeight="false" outlineLevel="0" collapsed="false">
      <c r="A27" s="18" t="str">
        <f aca="false">IFERROR(MID(D27,1,FIND("|",D27)-1)&amp;"-"&amp;C27,"")</f>
        <v>AICI201804-8-8-2</v>
      </c>
      <c r="B27" s="19" t="n">
        <f aca="false">IFERROR(__xludf.dummyfunction("""COMPUTED_VALUE"""),43749)</f>
        <v>43749</v>
      </c>
      <c r="C27" s="0" t="n">
        <f aca="false">IFERROR(__xludf.dummyfunction("""COMPUTED_VALUE"""),2)</f>
        <v>2</v>
      </c>
      <c r="D27" s="0" t="str">
        <f aca="false">IFERROR(__xludf.dummyfunction("""COMPUTED_VALUE"""),"AICI201804-8-8| Determinar la estructura del reporte del información para ser generado por el sistema institucional. - 20/02/2019")</f>
        <v>AICI201804-8-8| Determinar la estructura del reporte del información para ser generado por el sistema institucional. - 20/02/2019</v>
      </c>
      <c r="E27" s="0" t="str">
        <f aca="false">IFERROR(__xludf.dummyfunction("""COMPUTED_VALUE"""),"Se anexa acta  como evidencia de las acciones adelantadas, sin embargo no se evidencia modificaciones que corrijan los riesgos evidenciados en el hallazgo.")</f>
        <v>Se anexa acta  como evidencia de las acciones adelantadas, sin embargo no se evidencia modificaciones que corrijan los riesgos evidenciados en el hallazgo.</v>
      </c>
      <c r="F27" s="0" t="str">
        <f aca="false">IFERROR(__xludf.dummyfunction("""COMPUTED_VALUE"""),"Atrasado")</f>
        <v>Atrasado</v>
      </c>
      <c r="G27" s="0" t="str">
        <f aca="false">IFERROR(__xludf.dummyfunction("""COMPUTED_VALUE"""),"https://drive.google.com/open?id=1Cku0Lex9PQVFLXNp09VTR1Z9AXERKanv, https://drive.google.com/open?id=1dLpir2_Dw4VgHiyDkOcVzDzRfnWRaHQB")</f>
        <v>https://drive.google.com/open?id=1Cku0Lex9PQVFLXNp09VTR1Z9AXERKanv, https://drive.google.com/open?id=1dLpir2_Dw4VgHiyDkOcVzDzRfnWRaHQB</v>
      </c>
    </row>
    <row r="28" customFormat="false" ht="14.25" hidden="false" customHeight="false" outlineLevel="0" collapsed="false">
      <c r="A28" s="18" t="str">
        <f aca="false">IFERROR(MID(D28,1,FIND("|",D28)-1)&amp;"-"&amp;C28,"")</f>
        <v>AICI201804-10-10-2</v>
      </c>
      <c r="B28" s="19" t="n">
        <f aca="false">IFERROR(__xludf.dummyfunction("""COMPUTED_VALUE"""),43749)</f>
        <v>43749</v>
      </c>
      <c r="C28" s="0" t="n">
        <f aca="false">IFERROR(__xludf.dummyfunction("""COMPUTED_VALUE"""),2)</f>
        <v>2</v>
      </c>
      <c r="D28" s="0" t="str">
        <f aca="false">IFERROR(__xludf.dummyfunction("""COMPUTED_VALUE"""),"AICI201804-10-10| Diseñar, socializar e implementar el plan de contingencia cuando se presentan problemas de conexión y fallos eléctricos y demás eventualidades - 28/02/2019")</f>
        <v>AICI201804-10-10| Diseñar, socializar e implementar el plan de contingencia cuando se presentan problemas de conexión y fallos eléctricos y demás eventualidades - 28/02/2019</v>
      </c>
      <c r="E28" s="0" t="str">
        <f aca="false">IFERROR(__xludf.dummyfunction("""COMPUTED_VALUE"""),"Se anexa evidencia de la socialización del  instructivo FACTURACIÓN MANUAL Cod: AP-GF-I-15-01. Soporte del manual reposan en Dirección Financiera / Facturación")</f>
        <v>Se anexa evidencia de la socialización del  instructivo FACTURACIÓN MANUAL Cod: AP-GF-I-15-01. Soporte del manual reposan en Dirección Financiera / Facturación</v>
      </c>
      <c r="F28" s="0" t="str">
        <f aca="false">IFERROR(__xludf.dummyfunction("""COMPUTED_VALUE"""),"Completo")</f>
        <v>Completo</v>
      </c>
    </row>
    <row r="29" customFormat="false" ht="14.25" hidden="false" customHeight="false" outlineLevel="0" collapsed="false">
      <c r="A29" s="18" t="str">
        <f aca="false">IFERROR(MID(D29,1,FIND("|",D29)-1)&amp;"-"&amp;C29,"")</f>
        <v>AICI201804-11-11-2</v>
      </c>
      <c r="B29" s="19" t="n">
        <f aca="false">IFERROR(__xludf.dummyfunction("""COMPUTED_VALUE"""),43749)</f>
        <v>43749</v>
      </c>
      <c r="C29" s="0" t="n">
        <f aca="false">IFERROR(__xludf.dummyfunction("""COMPUTED_VALUE"""),2)</f>
        <v>2</v>
      </c>
      <c r="D29" s="0" t="str">
        <f aca="false">IFERROR(__xludf.dummyfunction("""COMPUTED_VALUE"""),"AICI201804-11-11| Desarrollar en conjunto con sistemas el reporte de trazabilidad de facturas en el caso de devoluciones y glosas - 30/04/2019")</f>
        <v>AICI201804-11-11| Desarrollar en conjunto con sistemas el reporte de trazabilidad de facturas en el caso de devoluciones y glosas - 30/04/2019</v>
      </c>
      <c r="E29" s="0" t="str">
        <f aca="false">IFERROR(__xludf.dummyfunction("""COMPUTED_VALUE"""),"El modulo de cuentas médicas del sistema de información Servinte fue entregado al área de Cartera y capacitado el personal, iniciando funcionamiento en octubre de 2019, con el fin de reflejar la trazabilidad de facturas.
Se hace entrega de soportes de la "&amp;"gestión realizada  frente a las solitudes, informes, actas con HIS, para la puesta en marcha del módulo.
Se espera que en el mes de octubre se pueda verificar en el módulo la trazabilidad de la factura
")</f>
        <v>El modulo de cuentas médicas del sistema de información Servinte fue entregado al área de Cartera y capacitado el personal, iniciando funcionamiento en octubre de 2019, con el fin de reflejar la trazabilidad de facturas.
Se hace entrega de soportes de la gestión realizada  frente a las solitudes, informes, actas con HIS, para la puesta en marcha del módulo.
Se espera que en el mes de octubre se pueda verificar en el módulo la trazabilidad de la factura
</v>
      </c>
      <c r="F29" s="0" t="str">
        <f aca="false">IFERROR(__xludf.dummyfunction("""COMPUTED_VALUE"""),"Atrasado")</f>
        <v>Atrasado</v>
      </c>
    </row>
    <row r="30" customFormat="false" ht="14.25" hidden="false" customHeight="false" outlineLevel="0" collapsed="false">
      <c r="A30" s="18" t="str">
        <f aca="false">IFERROR(MID(D30,1,FIND("|",D30)-1)&amp;"-"&amp;C30,"")</f>
        <v>AICI201804-12-12-2</v>
      </c>
      <c r="B30" s="19" t="n">
        <f aca="false">IFERROR(__xludf.dummyfunction("""COMPUTED_VALUE"""),43749)</f>
        <v>43749</v>
      </c>
      <c r="C30" s="0" t="n">
        <f aca="false">IFERROR(__xludf.dummyfunction("""COMPUTED_VALUE"""),2)</f>
        <v>2</v>
      </c>
      <c r="D30" s="0" t="str">
        <f aca="false">IFERROR(__xludf.dummyfunction("""COMPUTED_VALUE"""),"AICI201804-12-12| Conciliar de forma mensual entre facturación y cartera de los pagares generados Vs. Los pagares físicos entregados a cartera Respecto al saldo presentado será presentado al comité de saneamiento contable para las acciones pertinentes - 3"&amp;"1/12/2019")</f>
        <v>AICI201804-12-12| Conciliar de forma mensual entre facturación y cartera de los pagares generados Vs. Los pagares físicos entregados a cartera Respecto al saldo presentado será presentado al comité de saneamiento contable para las acciones pertinentes - 31/12/2019</v>
      </c>
      <c r="E30" s="0" t="str">
        <f aca="false">IFERROR(__xludf.dummyfunction("""COMPUTED_VALUE"""),"Se viene realizando conciliación  mensual entre facturación y cartera de la facturación con particulares que incluye los pagares.  
Se presento al comité de sostenibilidad contable del 29 de abril de 2019 y mediante resolución 208 del 29 abril 2019  se ap"&amp;"robó el saneamiento de 1.601.255.675  por concepto de pagares se anexa comprobante contable de julio de 2019 con el ajuste correspondiente en cuentas de orden por valor mencionado. 
En comité de sostenibilidad contable del 27 de  junio de 2019 y mediante "&amp;"resolución  351 del 27 junio  de 2019  se aprobó el saneamiento particulares por  1.875.194.451  se anexa comprobante contable de julio de 2019 con el ajuste correspondiente en cuentas de orden por valor mencionado. 
Esta cuenta es permanente conciliación"&amp;" y depuración. Soportes en físico  Dirección Financiera / Facturación / Cartera")</f>
        <v>Se viene realizando conciliación  mensual entre facturación y cartera de la facturación con particulares que incluye los pagares.  
Se presento al comité de sostenibilidad contable del 29 de abril de 2019 y mediante resolución 208 del 29 abril 2019  se aprobó el saneamiento de 1.601.255.675  por concepto de pagares se anexa comprobante contable de julio de 2019 con el ajuste correspondiente en cuentas de orden por valor mencionado. 
En comité de sostenibilidad contable del 27 de  junio de 2019 y mediante resolución  351 del 27 junio  de 2019  se aprobó el saneamiento particulares por  1.875.194.451  se anexa comprobante contable de julio de 2019 con el ajuste correspondiente en cuentas de orden por valor mencionado. 
Esta cuenta es permanente conciliación y depuración. Soportes en físico  Dirección Financiera / Facturación / Cartera</v>
      </c>
      <c r="F30" s="0" t="str">
        <f aca="false">IFERROR(__xludf.dummyfunction("""COMPUTED_VALUE"""),"Completo")</f>
        <v>Completo</v>
      </c>
    </row>
    <row r="31" customFormat="false" ht="14.25" hidden="false" customHeight="false" outlineLevel="0" collapsed="false">
      <c r="A31" s="18" t="str">
        <f aca="false">IFERROR(MID(D31,1,FIND("|",D31)-1)&amp;"-"&amp;C31,"")</f>
        <v>AICI201804-13-13-2</v>
      </c>
      <c r="B31" s="19" t="n">
        <f aca="false">IFERROR(__xludf.dummyfunction("""COMPUTED_VALUE"""),43749)</f>
        <v>43749</v>
      </c>
      <c r="C31" s="0" t="n">
        <f aca="false">IFERROR(__xludf.dummyfunction("""COMPUTED_VALUE"""),2)</f>
        <v>2</v>
      </c>
      <c r="D31" s="0" t="str">
        <f aca="false">IFERROR(__xludf.dummyfunction("""COMPUTED_VALUE"""),"AICI201804-13-13| Remitir a la oficina de Control Disciplinario los expedientes que soportan el saneamiento de los pagares por valor de $5.372.399.016, resultado del Comité de Saneamiento realizado según acta No. 3 del 25 de mayo de 2018. - 31/01/2019")</f>
        <v>AICI201804-13-13| Remitir a la oficina de Control Disciplinario los expedientes que soportan el saneamiento de los pagares por valor de $5.372.399.016, resultado del Comité de Saneamiento realizado según acta No. 3 del 25 de mayo de 2018. - 31/01/2019</v>
      </c>
      <c r="E31" s="0" t="str">
        <f aca="false">IFERROR(__xludf.dummyfunction("""COMPUTED_VALUE"""),"Se evidencia que se realizó gestión descrita en la acción propuesta de acuerdo a los soporte enviados.")</f>
        <v>Se evidencia que se realizó gestión descrita en la acción propuesta de acuerdo a los soporte enviados.</v>
      </c>
      <c r="F31" s="0" t="str">
        <f aca="false">IFERROR(__xludf.dummyfunction("""COMPUTED_VALUE"""),"Completo")</f>
        <v>Completo</v>
      </c>
    </row>
    <row r="32" customFormat="false" ht="14.25" hidden="false" customHeight="false" outlineLevel="0" collapsed="false">
      <c r="A32" s="18" t="str">
        <f aca="false">IFERROR(MID(D32,1,FIND("|",D32)-1)&amp;"-"&amp;C32,"")</f>
        <v>AICI201804-14-14-2</v>
      </c>
      <c r="B32" s="19" t="n">
        <f aca="false">IFERROR(__xludf.dummyfunction("""COMPUTED_VALUE"""),43749)</f>
        <v>43749</v>
      </c>
      <c r="C32" s="0" t="n">
        <f aca="false">IFERROR(__xludf.dummyfunction("""COMPUTED_VALUE"""),2)</f>
        <v>2</v>
      </c>
      <c r="D32" s="0" t="str">
        <f aca="false">IFERROR(__xludf.dummyfunction("""COMPUTED_VALUE"""),"AICI201804-14-14| Radicar a 31 de diciembre de 2018 el 80% de la facturación correspondiente a la vigencia 2017, cuyos conceptos relevantes son: pendientes RIPS y pendientes autorizaciones. - 31/12/2019")</f>
        <v>AICI201804-14-14| Radicar a 31 de diciembre de 2018 el 80% de la facturación correspondiente a la vigencia 2017, cuyos conceptos relevantes son: pendientes RIPS y pendientes autorizaciones. - 31/12/2019</v>
      </c>
      <c r="E32" s="0" t="str">
        <f aca="false">IFERROR(__xludf.dummyfunction("""COMPUTED_VALUE"""),"De acuerdo a las acta de conciliación entre las áreas de cartera y facturación se evidencia que desde mes de marzo de 2019 no había facturación pendiente por radicar de las vigencias 2017 y anteriores.")</f>
        <v>De acuerdo a las acta de conciliación entre las áreas de cartera y facturación se evidencia que desde mes de marzo de 2019 no había facturación pendiente por radicar de las vigencias 2017 y anteriores.</v>
      </c>
      <c r="F32" s="0" t="str">
        <f aca="false">IFERROR(__xludf.dummyfunction("""COMPUTED_VALUE"""),"Completo")</f>
        <v>Completo</v>
      </c>
      <c r="G32" s="20" t="str">
        <f aca="false">IFERROR(__xludf.dummyfunction("""COMPUTED_VALUE"""),"https://drive.google.com/open?id=12wcMzoTPtzX0QXl-Gwx9PECxShnBofoL")</f>
        <v>https://drive.google.com/open?id=12wcMzoTPtzX0QXl-Gwx9PECxShnBofoL</v>
      </c>
    </row>
    <row r="33" customFormat="false" ht="14.25" hidden="false" customHeight="false" outlineLevel="0" collapsed="false">
      <c r="A33" s="18" t="str">
        <f aca="false">IFERROR(MID(D33,1,FIND("|",D33)-1)&amp;"-"&amp;C33,"")</f>
        <v>AICI201804-14-15-2</v>
      </c>
      <c r="B33" s="19" t="n">
        <f aca="false">IFERROR(__xludf.dummyfunction("""COMPUTED_VALUE"""),43749)</f>
        <v>43749</v>
      </c>
      <c r="C33" s="0" t="n">
        <f aca="false">IFERROR(__xludf.dummyfunction("""COMPUTED_VALUE"""),2)</f>
        <v>2</v>
      </c>
      <c r="D33" s="0" t="str">
        <f aca="false">IFERROR(__xludf.dummyfunction("""COMPUTED_VALUE"""),"AICI201804-14-15| Frente al 20% restante se adelantaran las gestiones administrativas a que haya lugar para continuar el tramite de radicación. - 31/12/2019")</f>
        <v>AICI201804-14-15| Frente al 20% restante se adelantaran las gestiones administrativas a que haya lugar para continuar el tramite de radicación. - 31/12/2019</v>
      </c>
      <c r="E33" s="0" t="str">
        <f aca="false">IFERROR(__xludf.dummyfunction("""COMPUTED_VALUE"""),"Se evidencia gestiones administrativas frente a la facturación pendiente por radicar. Soporte reposan en Dirección Financiera /  Facturación")</f>
        <v>Se evidencia gestiones administrativas frente a la facturación pendiente por radicar. Soporte reposan en Dirección Financiera /  Facturación</v>
      </c>
      <c r="F33" s="0" t="str">
        <f aca="false">IFERROR(__xludf.dummyfunction("""COMPUTED_VALUE"""),"Completo")</f>
        <v>Completo</v>
      </c>
    </row>
    <row r="34" customFormat="false" ht="14.25" hidden="false" customHeight="false" outlineLevel="0" collapsed="false">
      <c r="A34" s="18" t="str">
        <f aca="false">IFERROR(MID(D34,1,FIND("|",D34)-1)&amp;"-"&amp;C34,"")</f>
        <v>AICI201804-14-16-2</v>
      </c>
      <c r="B34" s="19" t="n">
        <f aca="false">IFERROR(__xludf.dummyfunction("""COMPUTED_VALUE"""),43749)</f>
        <v>43749</v>
      </c>
      <c r="C34" s="0" t="n">
        <f aca="false">IFERROR(__xludf.dummyfunction("""COMPUTED_VALUE"""),2)</f>
        <v>2</v>
      </c>
      <c r="D34" s="0" t="str">
        <f aca="false">IFERROR(__xludf.dummyfunction("""COMPUTED_VALUE"""),"AICI201804-14-16| Notificar a las Entidades de Vigilancia y Control las situaciones presentadas con las EPS frente a la no generación de autorizaciones y recepción de cuentas con 3 envíos como lo establece la normatividad vigente. - 31/12/2019")</f>
        <v>AICI201804-14-16| Notificar a las Entidades de Vigilancia y Control las situaciones presentadas con las EPS frente a la no generación de autorizaciones y recepción de cuentas con 3 envíos como lo establece la normatividad vigente. - 31/12/2019</v>
      </c>
      <c r="E34" s="0" t="str">
        <f aca="false">IFERROR(__xludf.dummyfunction("""COMPUTED_VALUE"""),"Se observa soportes de evidencia notificaciones a las Entidades de vigilancia y Control las situaciones presentadas con las EPS frente a la generación de autorizaciones y recepción de cuentas. Los soportes reposan en Dirección Financiera / Facturación")</f>
        <v>Se observa soportes de evidencia notificaciones a las Entidades de vigilancia y Control las situaciones presentadas con las EPS frente a la generación de autorizaciones y recepción de cuentas. Los soportes reposan en Dirección Financiera / Facturación</v>
      </c>
      <c r="F34" s="0" t="str">
        <f aca="false">IFERROR(__xludf.dummyfunction("""COMPUTED_VALUE"""),"Completo")</f>
        <v>Completo</v>
      </c>
    </row>
    <row r="35" customFormat="false" ht="14.25" hidden="false" customHeight="false" outlineLevel="0" collapsed="false">
      <c r="A35" s="18" t="str">
        <f aca="false">IFERROR(MID(D35,1,FIND("|",D35)-1)&amp;"-"&amp;C35,"")</f>
        <v>AICI201804-9-9-2</v>
      </c>
      <c r="B35" s="19" t="n">
        <f aca="false">IFERROR(__xludf.dummyfunction("""COMPUTED_VALUE"""),43749)</f>
        <v>43749</v>
      </c>
      <c r="C35" s="0" t="n">
        <f aca="false">IFERROR(__xludf.dummyfunction("""COMPUTED_VALUE"""),2)</f>
        <v>2</v>
      </c>
      <c r="D35" s="0" t="str">
        <f aca="false">IFERROR(__xludf.dummyfunction("""COMPUTED_VALUE"""),"AICI201804-9-9| Diseñar, socializar e implementar los procedimientos institucionales de unificación de historias clínicas y anulación de historias clínicas - 30/03/2019")</f>
        <v>AICI201804-9-9| Diseñar, socializar e implementar los procedimientos institucionales de unificación de historias clínicas y anulación de historias clínicas - 30/03/2019</v>
      </c>
      <c r="E35" s="0" t="str">
        <f aca="false">IFERROR(__xludf.dummyfunction("""COMPUTED_VALUE"""),"Se anexa instructivo de ADMISIÓN Y AUTORIZACION DE PACIENTES A LOS SERVICIOS DE URGENCIAS, HOSPITALIZACIÓN Y CIRUGIA DE LA SUBRED NORTE ESE Cod: ES-GE-I-01-03 en su tercera versión.   Pendiente soportes de socialización por parte del área de Mercadeo.
")</f>
        <v>Se anexa instructivo de ADMISIÓN Y AUTORIZACION DE PACIENTES A LOS SERVICIOS DE URGENCIAS, HOSPITALIZACIÓN Y CIRUGIA DE LA SUBRED NORTE ESE Cod: ES-GE-I-01-03 en su tercera versión.   Pendiente soportes de socialización por parte del área de Mercadeo.
</v>
      </c>
      <c r="F35" s="0" t="str">
        <f aca="false">IFERROR(__xludf.dummyfunction("""COMPUTED_VALUE"""),"Atrasado")</f>
        <v>Atrasado</v>
      </c>
    </row>
    <row r="36" customFormat="false" ht="14.25" hidden="false" customHeight="false" outlineLevel="0" collapsed="false">
      <c r="A36" s="18" t="str">
        <f aca="false">IFERROR(MID(D36,1,FIND("|",D36)-1)&amp;"-"&amp;C36,"")</f>
        <v>AICI201804-15-17-2</v>
      </c>
      <c r="B36" s="19" t="n">
        <f aca="false">IFERROR(__xludf.dummyfunction("""COMPUTED_VALUE"""),43749)</f>
        <v>43749</v>
      </c>
      <c r="C36" s="0" t="n">
        <f aca="false">IFERROR(__xludf.dummyfunction("""COMPUTED_VALUE"""),2)</f>
        <v>2</v>
      </c>
      <c r="D36" s="0" t="str">
        <f aca="false">IFERROR(__xludf.dummyfunction("""COMPUTED_VALUE"""),"AICI201804-15-17| Diseñar, socializar e implementar el procedimiento de auditoria de cuentas con enfoque en pertinencia medica y facturación adecuada de medicamentos e insumos. - 28/02/2019")</f>
        <v>AICI201804-15-17| Diseñar, socializar e implementar el procedimiento de auditoria de cuentas con enfoque en pertinencia medica y facturación adecuada de medicamentos e insumos. - 28/02/2019</v>
      </c>
      <c r="E36" s="0" t="str">
        <f aca="false">IFERROR(__xludf.dummyfunction("""COMPUTED_VALUE"""),"Se anexa instructivo de ADMISIÓN Y AUTORIZACIÓN DE PACIENTES A LOS SERVICIOS DE URGENCIAS, HOSPITALIZACIÓN Y CIRUGÍA DE LA SUBRED NORTE ESE Cod: ES-GE-I-01-03 en su tercera versión.  En este instructivo se incluyo la unificación de historias clínicas. Pen"&amp;"diente soportes de socialización por parte del área de Mercadeo.
Adicionalmente esta en proceso de aprobación por parte de calidad el instructivo AUDITORIA DE CUENTAS MEDICAS MAYOR A 50 MILLONES, que incluye el enfoque de pertinencia medica y facturación "&amp;"adecuada de medicamentos e insumos.")</f>
        <v>Se anexa instructivo de ADMISIÓN Y AUTORIZACIÓN DE PACIENTES A LOS SERVICIOS DE URGENCIAS, HOSPITALIZACIÓN Y CIRUGÍA DE LA SUBRED NORTE ESE Cod: ES-GE-I-01-03 en su tercera versión.  En este instructivo se incluyo la unificación de historias clínicas. Pendiente soportes de socialización por parte del área de Mercadeo.
Adicionalmente esta en proceso de aprobación por parte de calidad el instructivo AUDITORIA DE CUENTAS MEDICAS MAYOR A 50 MILLONES, que incluye el enfoque de pertinencia medica y facturación adecuada de medicamentos e insumos.</v>
      </c>
      <c r="F36" s="0" t="str">
        <f aca="false">IFERROR(__xludf.dummyfunction("""COMPUTED_VALUE"""),"Atrasado")</f>
        <v>Atrasado</v>
      </c>
    </row>
    <row r="37" customFormat="false" ht="14.25" hidden="false" customHeight="false" outlineLevel="0" collapsed="false">
      <c r="A37" s="18" t="str">
        <f aca="false">IFERROR(MID(D37,1,FIND("|",D37)-1)&amp;"-"&amp;C37,"")</f>
        <v>AICI201804-1-1-2</v>
      </c>
      <c r="B37" s="19" t="n">
        <f aca="false">IFERROR(__xludf.dummyfunction("""COMPUTED_VALUE"""),43749)</f>
        <v>43749</v>
      </c>
      <c r="C37" s="0" t="n">
        <f aca="false">IFERROR(__xludf.dummyfunction("""COMPUTED_VALUE"""),2)</f>
        <v>2</v>
      </c>
      <c r="D37" s="0" t="str">
        <f aca="false">IFERROR(__xludf.dummyfunction("""COMPUTED_VALUE"""),"AICI201804-1-1| Incluir en el Plan de Ventas de la vigencia 2019 el indicador de cumplimiento del mismo. - 28/02/2019")</f>
        <v>AICI201804-1-1| Incluir en el Plan de Ventas de la vigencia 2019 el indicador de cumplimiento del mismo. - 28/02/2019</v>
      </c>
      <c r="E37" s="0" t="str">
        <f aca="false">IFERROR(__xludf.dummyfunction("""COMPUTED_VALUE"""),"Se incluyó en el Plan de Ventas de la vigencia 2019 el indicador de cumplimiento del mismo. Sin embargo no se observa si este indicador mide el cumplimiento a corto, mediano y largo plazo. No anexa soporte para verificar el indicador.")</f>
        <v>Se incluyó en el Plan de Ventas de la vigencia 2019 el indicador de cumplimiento del mismo. Sin embargo no se observa si este indicador mide el cumplimiento a corto, mediano y largo plazo. No anexa soporte para verificar el indicador.</v>
      </c>
      <c r="F37" s="0" t="str">
        <f aca="false">IFERROR(__xludf.dummyfunction("""COMPUTED_VALUE"""),"Atrasado")</f>
        <v>Atrasado</v>
      </c>
    </row>
    <row r="38" customFormat="false" ht="14.25" hidden="false" customHeight="false" outlineLevel="0" collapsed="false">
      <c r="A38" s="18" t="str">
        <f aca="false">IFERROR(MID(D38,1,FIND("|",D38)-1)&amp;"-"&amp;C38,"")</f>
        <v>AICI201804-15-17-3</v>
      </c>
      <c r="B38" s="19" t="n">
        <f aca="false">IFERROR(__xludf.dummyfunction("""COMPUTED_VALUE"""),44498)</f>
        <v>44498</v>
      </c>
      <c r="C38" s="0" t="n">
        <f aca="false">IFERROR(__xludf.dummyfunction("""COMPUTED_VALUE"""),3)</f>
        <v>3</v>
      </c>
      <c r="D38" s="0" t="str">
        <f aca="false">IFERROR(__xludf.dummyfunction("""COMPUTED_VALUE"""),"AICI201804-15-17| Diseñar, socializar e implementar el procedimiento de auditoria de cuentas con enfoque en pertinencia medica y facturación adecuada de medicamentos e insumos. - 28/02/2019")</f>
        <v>AICI201804-15-17| Diseñar, socializar e implementar el procedimiento de auditoria de cuentas con enfoque en pertinencia medica y facturación adecuada de medicamentos e insumos. - 28/02/2019</v>
      </c>
      <c r="E38" s="0" t="str">
        <f aca="false">IFERROR(__xludf.dummyfunction("""COMPUTED_VALUE"""),"Se entregaron  actas de socialización de instructivos Admisión y autorización de pacientes a los servicios de urgencias, hospitalización y cirugía de la subred norte ese Cod: ES-GE-I-01-03 en su tercera versión y el  instructivo auditoría de cuentas medic"&amp;"as mayor a 50 millones.")</f>
        <v>Se entregaron  actas de socialización de instructivos Admisión y autorización de pacientes a los servicios de urgencias, hospitalización y cirugía de la subred norte ese Cod: ES-GE-I-01-03 en su tercera versión y el  instructivo auditoría de cuentas medicas mayor a 50 millones.</v>
      </c>
      <c r="F38" s="0" t="str">
        <f aca="false">IFERROR(__xludf.dummyfunction("""COMPUTED_VALUE"""),"Completo")</f>
        <v>Completo</v>
      </c>
      <c r="G38" s="0" t="str">
        <f aca="false">IFERROR(__xludf.dummyfunction("""COMPUTED_VALUE"""),"https://drive.google.com/open?id=1SkVRnynab2IsbYacTSIB2k5ADVulR2ZY, https://drive.google.com/open?id=1D1GXgT8xImbYLhvQGj6501OYXQp8Ffi0, https://drive.google.com/open?id=13opCQ5TZtgaf1xKr4ahbBYb06ULYpi_2")</f>
        <v>https://drive.google.com/open?id=1SkVRnynab2IsbYacTSIB2k5ADVulR2ZY, https://drive.google.com/open?id=1D1GXgT8xImbYLhvQGj6501OYXQp8Ffi0, https://drive.google.com/open?id=13opCQ5TZtgaf1xKr4ahbBYb06ULYpi_2</v>
      </c>
    </row>
    <row r="39" customFormat="false" ht="14.25" hidden="false" customHeight="false" outlineLevel="0" collapsed="false">
      <c r="A39" s="18" t="str">
        <f aca="false">IFERROR(MID(D39,1,FIND("|",D39)-1)&amp;"-"&amp;C39,"")</f>
        <v>AICI201804-1-1-3</v>
      </c>
      <c r="B39" s="19" t="n">
        <f aca="false">IFERROR(__xludf.dummyfunction("""COMPUTED_VALUE"""),44498)</f>
        <v>44498</v>
      </c>
      <c r="C39" s="0" t="n">
        <f aca="false">IFERROR(__xludf.dummyfunction("""COMPUTED_VALUE"""),3)</f>
        <v>3</v>
      </c>
      <c r="D39" s="0" t="str">
        <f aca="false">IFERROR(__xludf.dummyfunction("""COMPUTED_VALUE"""),"AICI201804-1-1| Incluir en el Plan de Ventas de la vigencia 2019 el indicador de cumplimiento del mismo. - 28/02/2019")</f>
        <v>AICI201804-1-1| Incluir en el Plan de Ventas de la vigencia 2019 el indicador de cumplimiento del mismo. - 28/02/2019</v>
      </c>
      <c r="E39" s="0" t="str">
        <f aca="false">IFERROR(__xludf.dummyfunction("""COMPUTED_VALUE"""),"Se incluyó en el Plan de Ventas de la vigencia 2019 el indicador de cumplimiento del mismo. Se anexa evaluaciones del plan de ventas midiendo el cumplimiento a corto, mediano y largo plazo.")</f>
        <v>Se incluyó en el Plan de Ventas de la vigencia 2019 el indicador de cumplimiento del mismo. Se anexa evaluaciones del plan de ventas midiendo el cumplimiento a corto, mediano y largo plazo.</v>
      </c>
      <c r="F39" s="0" t="str">
        <f aca="false">IFERROR(__xludf.dummyfunction("""COMPUTED_VALUE"""),"Completo")</f>
        <v>Completo</v>
      </c>
      <c r="G39" s="0" t="str">
        <f aca="false">IFERROR(__xludf.dummyfunction("""COMPUTED_VALUE"""),"https://drive.google.com/open?id=1R_FhtccOHxyzEevvuIFSET5D-MFEMlUS, https://drive.google.com/open?id=1c_hvHpe4dsGiAj-Lg9G0XmzZV-AhUScL, https://drive.google.com/open?id=1KdwCZJX2YMEGbzlEdl82Wf_ZN2Mpajzo, https://drive.google.com/open?id=1WrWKXEBsFtpBOcLbg"&amp;"KmwHt316mbkXF9g")</f>
        <v>https://drive.google.com/open?id=1R_FhtccOHxyzEevvuIFSET5D-MFEMlUS, https://drive.google.com/open?id=1c_hvHpe4dsGiAj-Lg9G0XmzZV-AhUScL, https://drive.google.com/open?id=1KdwCZJX2YMEGbzlEdl82Wf_ZN2Mpajzo, https://drive.google.com/open?id=1WrWKXEBsFtpBOcLbgKmwHt316mbkXF9g</v>
      </c>
    </row>
    <row r="40" customFormat="false" ht="14.25" hidden="false" customHeight="false" outlineLevel="0" collapsed="false">
      <c r="A40" s="18" t="str">
        <f aca="false">IFERROR(MID(D40,1,FIND("|",D40)-1)&amp;"-"&amp;C40,"")</f>
        <v>AICI201804-2-2-3</v>
      </c>
      <c r="B40" s="19" t="n">
        <f aca="false">IFERROR(__xludf.dummyfunction("""COMPUTED_VALUE"""),44498)</f>
        <v>44498</v>
      </c>
      <c r="C40" s="0" t="n">
        <f aca="false">IFERROR(__xludf.dummyfunction("""COMPUTED_VALUE"""),3)</f>
        <v>3</v>
      </c>
      <c r="D40" s="0" t="str">
        <f aca="false">IFERROR(__xludf.dummyfunction("""COMPUTED_VALUE"""),"AICI201804-2-2| Diseñar, socializar, implementar y realizar seguimiento trimestral del procedimiento de parametrización de contratos en el en el módulo del sistema Clinical Swiff. - 31/12/2019")</f>
        <v>AICI201804-2-2| Diseñar, socializar, implementar y realizar seguimiento trimestral del procedimiento de parametrización de contratos en el en el módulo del sistema Clinical Swiff. - 31/12/2019</v>
      </c>
      <c r="E40" s="0" t="str">
        <f aca="false">IFERROR(__xludf.dummyfunction("""COMPUTED_VALUE"""),"Se presenta informes mediante actas de seguimiento realizadas de acuerdo con el procedimiento AP-GF-I-19-01. Se anexa soportes de actas.")</f>
        <v>Se presenta informes mediante actas de seguimiento realizadas de acuerdo con el procedimiento AP-GF-I-19-01. Se anexa soportes de actas.</v>
      </c>
      <c r="F40" s="0" t="str">
        <f aca="false">IFERROR(__xludf.dummyfunction("""COMPUTED_VALUE"""),"Completo")</f>
        <v>Completo</v>
      </c>
      <c r="G40" s="0" t="str">
        <f aca="false">IFERROR(__xludf.dummyfunction("""COMPUTED_VALUE"""),"https://drive.google.com/open?id=1-hM3ONV0Cznu4mrfdWWOBA9gpvYWAsEI, https://drive.google.com/open?id=1pSi76RyWw3XadV7-IhMA52pZU6cmWTt3, https://drive.google.com/open?id=1ot8IXhrg9Y3_p5wU168ATV9Gm_tYII1g")</f>
        <v>https://drive.google.com/open?id=1-hM3ONV0Cznu4mrfdWWOBA9gpvYWAsEI, https://drive.google.com/open?id=1pSi76RyWw3XadV7-IhMA52pZU6cmWTt3, https://drive.google.com/open?id=1ot8IXhrg9Y3_p5wU168ATV9Gm_tYII1g</v>
      </c>
    </row>
    <row r="41" customFormat="false" ht="14.25" hidden="false" customHeight="false" outlineLevel="0" collapsed="false">
      <c r="A41" s="18" t="str">
        <f aca="false">IFERROR(MID(D41,1,FIND("|",D41)-1)&amp;"-"&amp;C41,"")</f>
        <v>AICI201804-6-6-3</v>
      </c>
      <c r="B41" s="19" t="n">
        <f aca="false">IFERROR(__xludf.dummyfunction("""COMPUTED_VALUE"""),44498)</f>
        <v>44498</v>
      </c>
      <c r="C41" s="0" t="n">
        <f aca="false">IFERROR(__xludf.dummyfunction("""COMPUTED_VALUE"""),3)</f>
        <v>3</v>
      </c>
      <c r="D41" s="0" t="str">
        <f aca="false">IFERROR(__xludf.dummyfunction("""COMPUTED_VALUE"""),"AICI201804-6-6| Diseñar, socializar e implementar el procedimiento de auditoria de cuentas con enfoque en pertinencia medica y facturación adecuada de medicamentos e insumos. - 28/02/2019")</f>
        <v>AICI201804-6-6| Diseñar, socializar e implementar el procedimiento de auditoria de cuentas con enfoque en pertinencia medica y facturación adecuada de medicamentos e insumos. - 28/02/2019</v>
      </c>
      <c r="E41" s="0" t="str">
        <f aca="false">IFERROR(__xludf.dummyfunction("""COMPUTED_VALUE"""),"se presenta instructivo codificado y socializado AP-GF-I-21-01-INSTRUCTIVO DE AUDITORÍA DE CUENTAS MÉDICAS MAYOR A 50 MILLONES. se anexa soporte del instructivo.")</f>
        <v>se presenta instructivo codificado y socializado AP-GF-I-21-01-INSTRUCTIVO DE AUDITORÍA DE CUENTAS MÉDICAS MAYOR A 50 MILLONES. se anexa soporte del instructivo.</v>
      </c>
      <c r="F41" s="0" t="str">
        <f aca="false">IFERROR(__xludf.dummyfunction("""COMPUTED_VALUE"""),"Completo")</f>
        <v>Completo</v>
      </c>
      <c r="G41" s="0" t="str">
        <f aca="false">IFERROR(__xludf.dummyfunction("""COMPUTED_VALUE"""),"https://drive.google.com/open?id=1y8L68m_8dAhTj5TVxSz-pOYM-AzPd_k5, https://drive.google.com/open?id=1r5HaY3DVynk8-rCmDJU8OQ9KzgQotMjb")</f>
        <v>https://drive.google.com/open?id=1y8L68m_8dAhTj5TVxSz-pOYM-AzPd_k5, https://drive.google.com/open?id=1r5HaY3DVynk8-rCmDJU8OQ9KzgQotMjb</v>
      </c>
    </row>
    <row r="42" customFormat="false" ht="14.25" hidden="false" customHeight="false" outlineLevel="0" collapsed="false">
      <c r="A42" s="18" t="str">
        <f aca="false">IFERROR(MID(D42,1,FIND("|",D42)-1)&amp;"-"&amp;C42,"")</f>
        <v>AICI201804-9-9-3</v>
      </c>
      <c r="B42" s="19" t="n">
        <f aca="false">IFERROR(__xludf.dummyfunction("""COMPUTED_VALUE"""),44498)</f>
        <v>44498</v>
      </c>
      <c r="C42" s="0" t="n">
        <f aca="false">IFERROR(__xludf.dummyfunction("""COMPUTED_VALUE"""),3)</f>
        <v>3</v>
      </c>
      <c r="D42" s="0" t="str">
        <f aca="false">IFERROR(__xludf.dummyfunction("""COMPUTED_VALUE"""),"AICI201804-9-9| Diseñar, socializar e implementar los procedimientos institucionales de unificación de historias clínicas y anulación de historias clínicas - 30/03/2019")</f>
        <v>AICI201804-9-9| Diseñar, socializar e implementar los procedimientos institucionales de unificación de historias clínicas y anulación de historias clínicas - 30/03/2019</v>
      </c>
      <c r="E42" s="0" t="str">
        <f aca="false">IFERROR(__xludf.dummyfunction("""COMPUTED_VALUE"""),"Se entregaron  actas de socialización de instructivos Admisión y autorización de pacientes a los servicios de urgencias, hospitalización y cirugía de la subred norte ese Cod: ES-GE-I-01-03 en su tercera versión. Se anexa Soportes.")</f>
        <v>Se entregaron  actas de socialización de instructivos Admisión y autorización de pacientes a los servicios de urgencias, hospitalización y cirugía de la subred norte ese Cod: ES-GE-I-01-03 en su tercera versión. Se anexa Soportes.</v>
      </c>
      <c r="F42" s="0" t="str">
        <f aca="false">IFERROR(__xludf.dummyfunction("""COMPUTED_VALUE"""),"Completo")</f>
        <v>Completo</v>
      </c>
      <c r="G42" s="0" t="str">
        <f aca="false">IFERROR(__xludf.dummyfunction("""COMPUTED_VALUE"""),"https://drive.google.com/open?id=1ZGpL9_EK-zaYKcVBEsJ8mhiXJc2XSarb, https://drive.google.com/open?id=1PtRZuJgYpoHbSFp4QBefbMjLbE4p1ey8")</f>
        <v>https://drive.google.com/open?id=1ZGpL9_EK-zaYKcVBEsJ8mhiXJc2XSarb, https://drive.google.com/open?id=1PtRZuJgYpoHbSFp4QBefbMjLbE4p1ey8</v>
      </c>
    </row>
    <row r="43" customFormat="false" ht="14.25" hidden="false" customHeight="false" outlineLevel="0" collapsed="false">
      <c r="A43" s="18" t="str">
        <f aca="false">IFERROR(MID(D43,1,FIND("|",D43)-1)&amp;"-"&amp;C43,"")</f>
        <v>AICI201804-7-7-3</v>
      </c>
      <c r="B43" s="19" t="n">
        <f aca="false">IFERROR(__xludf.dummyfunction("""COMPUTED_VALUE"""),44585)</f>
        <v>44585</v>
      </c>
      <c r="C43" s="0" t="n">
        <f aca="false">IFERROR(__xludf.dummyfunction("""COMPUTED_VALUE"""),3)</f>
        <v>3</v>
      </c>
      <c r="D43" s="0" t="str">
        <f aca="false">IFERROR(__xludf.dummyfunction("""COMPUTED_VALUE"""),"AICI201804-7-7| Implementar el Anexo 8 de la Resolución 3047 de 2008, en lo que corresponde a la Subred Integrada de Servicios de Salud Norte E.S.E., a través de un reporte por el sistema de información - 31/12/2019")</f>
        <v>AICI201804-7-7| Implementar el Anexo 8 de la Resolución 3047 de 2008, en lo que corresponde a la Subred Integrada de Servicios de Salud Norte E.S.E., a través de un reporte por el sistema de información - 31/12/2019</v>
      </c>
      <c r="E43" s="0" t="str">
        <f aca="false">IFERROR(__xludf.dummyfunction("""COMPUTED_VALUE"""),"Esta acción continúa atrasada. Se envió oficio el 24 de enero de 2022 - Radicado No 2022 3300001813 al Subgerente Corporativo solicitando una reunión y los soportes de avance de las acciones  al plan de mejoramiento gestión del Ingreso de 2018. No se obtu"&amp;"vo respuesta al respecto.")</f>
        <v>Esta acción continúa atrasada. Se envió oficio el 24 de enero de 2022 - Radicado No 2022 3300001813 al Subgerente Corporativo solicitando una reunión y los soportes de avance de las acciones  al plan de mejoramiento gestión del Ingreso de 2018. No se obtuvo respuesta al respecto.</v>
      </c>
      <c r="F43" s="0" t="str">
        <f aca="false">IFERROR(__xludf.dummyfunction("""COMPUTED_VALUE"""),"Atrasado")</f>
        <v>Atrasado</v>
      </c>
      <c r="G43" s="20" t="str">
        <f aca="false">IFERROR(__xludf.dummyfunction("""COMPUTED_VALUE"""),"https://drive.google.com/open?id=1H3jK2yc_KOtHujCByUiDJq5EHr_NKKRn")</f>
        <v>https://drive.google.com/open?id=1H3jK2yc_KOtHujCByUiDJq5EHr_NKKRn</v>
      </c>
    </row>
    <row r="44" customFormat="false" ht="14.25" hidden="false" customHeight="false" outlineLevel="0" collapsed="false">
      <c r="A44" s="18" t="str">
        <f aca="false">IFERROR(MID(D44,1,FIND("|",D44)-1)&amp;"-"&amp;C44,"")</f>
        <v>AICI201804-8-8-3</v>
      </c>
      <c r="B44" s="19" t="n">
        <f aca="false">IFERROR(__xludf.dummyfunction("""COMPUTED_VALUE"""),44585)</f>
        <v>44585</v>
      </c>
      <c r="C44" s="0" t="n">
        <f aca="false">IFERROR(__xludf.dummyfunction("""COMPUTED_VALUE"""),3)</f>
        <v>3</v>
      </c>
      <c r="D44" s="0" t="str">
        <f aca="false">IFERROR(__xludf.dummyfunction("""COMPUTED_VALUE"""),"AICI201804-8-8| Determinar la estructura del reporte del información para ser generado por el sistema institucional. - 20/02/2019")</f>
        <v>AICI201804-8-8| Determinar la estructura del reporte del información para ser generado por el sistema institucional. - 20/02/2019</v>
      </c>
      <c r="E44" s="0" t="str">
        <f aca="false">IFERROR(__xludf.dummyfunction("""COMPUTED_VALUE"""),"Esta acción continúa atrasada. Se envió oficio el 24 de enero de 2022 - Radicado No 2022 3300001813 al Subgerente Corporativo solicitando una reunión y los soportes de avance de las acciones  al plan de mejoramiento gestión del Ingreso de 2018. No se obtu"&amp;"vo respuesta al respecto.")</f>
        <v>Esta acción continúa atrasada. Se envió oficio el 24 de enero de 2022 - Radicado No 2022 3300001813 al Subgerente Corporativo solicitando una reunión y los soportes de avance de las acciones  al plan de mejoramiento gestión del Ingreso de 2018. No se obtuvo respuesta al respecto.</v>
      </c>
      <c r="F44" s="0" t="str">
        <f aca="false">IFERROR(__xludf.dummyfunction("""COMPUTED_VALUE"""),"Atrasado")</f>
        <v>Atrasado</v>
      </c>
      <c r="G44" s="20" t="str">
        <f aca="false">IFERROR(__xludf.dummyfunction("""COMPUTED_VALUE"""),"https://drive.google.com/open?id=1NDKCbXp41U4pJwg1ufvG7wc0lSKnbxCX")</f>
        <v>https://drive.google.com/open?id=1NDKCbXp41U4pJwg1ufvG7wc0lSKnbxCX</v>
      </c>
    </row>
    <row r="45" customFormat="false" ht="14.25" hidden="false" customHeight="false" outlineLevel="0" collapsed="false">
      <c r="A45" s="18" t="str">
        <f aca="false">IFERROR(MID(D45,1,FIND("|",D45)-1)&amp;"-"&amp;C45,"")</f>
        <v>AICI201804-9-9-3</v>
      </c>
      <c r="B45" s="19" t="n">
        <f aca="false">IFERROR(__xludf.dummyfunction("""COMPUTED_VALUE"""),44585)</f>
        <v>44585</v>
      </c>
      <c r="C45" s="0" t="n">
        <f aca="false">IFERROR(__xludf.dummyfunction("""COMPUTED_VALUE"""),3)</f>
        <v>3</v>
      </c>
      <c r="D45" s="0" t="str">
        <f aca="false">IFERROR(__xludf.dummyfunction("""COMPUTED_VALUE"""),"AICI201804-9-9| Diseñar, socializar e implementar los procedimientos institucionales de unificación de historias clínicas y anulación de historias clínicas - 30/03/2019")</f>
        <v>AICI201804-9-9| Diseñar, socializar e implementar los procedimientos institucionales de unificación de historias clínicas y anulación de historias clínicas - 30/03/2019</v>
      </c>
      <c r="E45" s="0" t="str">
        <f aca="false">IFERROR(__xludf.dummyfunction("""COMPUTED_VALUE"""),"Esta acción continúa atrasada. Se envió oficio el 24 de enero de 2022 - Radicado No 2022 3300001813 al Subgerente Corporativo solicitando una reunión y los soportes de avance de las acciones  al plan de mejoramiento gestión del Ingreso de 2018.")</f>
        <v>Esta acción continúa atrasada. Se envió oficio el 24 de enero de 2022 - Radicado No 2022 3300001813 al Subgerente Corporativo solicitando una reunión y los soportes de avance de las acciones  al plan de mejoramiento gestión del Ingreso de 2018.</v>
      </c>
      <c r="F45" s="0" t="str">
        <f aca="false">IFERROR(__xludf.dummyfunction("""COMPUTED_VALUE"""),"Atrasado")</f>
        <v>Atrasado</v>
      </c>
      <c r="G45" s="20" t="str">
        <f aca="false">IFERROR(__xludf.dummyfunction("""COMPUTED_VALUE"""),"https://drive.google.com/open?id=1YDrQiCkp7N6m7Iklm1mhnW1xmb0LgkSo")</f>
        <v>https://drive.google.com/open?id=1YDrQiCkp7N6m7Iklm1mhnW1xmb0LgkSo</v>
      </c>
    </row>
    <row r="46" customFormat="false" ht="14.25" hidden="false" customHeight="false" outlineLevel="0" collapsed="false">
      <c r="A46" s="18" t="str">
        <f aca="false">IFERROR(MID(D46,1,FIND("|",D46)-1)&amp;"-"&amp;C46,"")</f>
        <v>AICI201804-11-11-3</v>
      </c>
      <c r="B46" s="19" t="n">
        <f aca="false">IFERROR(__xludf.dummyfunction("""COMPUTED_VALUE"""),44585)</f>
        <v>44585</v>
      </c>
      <c r="C46" s="0" t="n">
        <f aca="false">IFERROR(__xludf.dummyfunction("""COMPUTED_VALUE"""),3)</f>
        <v>3</v>
      </c>
      <c r="D46" s="0" t="str">
        <f aca="false">IFERROR(__xludf.dummyfunction("""COMPUTED_VALUE"""),"AICI201804-11-11| Desarrollar en conjunto con sistemas el reporte de trazabilidad de facturas en el caso de devoluciones y glosas - 30/04/2019")</f>
        <v>AICI201804-11-11| Desarrollar en conjunto con sistemas el reporte de trazabilidad de facturas en el caso de devoluciones y glosas - 30/04/2019</v>
      </c>
      <c r="E46" s="0" t="str">
        <f aca="false">IFERROR(__xludf.dummyfunction("""COMPUTED_VALUE"""),"Esta acción continúa atrasada. Se envió oficio el 24 de enero de 2022 - Radicado No 2022 3300001813 al Subgerente Corporativo solicitando una reunión y los soportes de avance de las acciones  al plan de mejoramiento gestión del Ingreso de 2018. No se obtu"&amp;"vo respuesta al respecto.")</f>
        <v>Esta acción continúa atrasada. Se envió oficio el 24 de enero de 2022 - Radicado No 2022 3300001813 al Subgerente Corporativo solicitando una reunión y los soportes de avance de las acciones  al plan de mejoramiento gestión del Ingreso de 2018. No se obtuvo respuesta al respecto.</v>
      </c>
      <c r="F46" s="0" t="str">
        <f aca="false">IFERROR(__xludf.dummyfunction("""COMPUTED_VALUE"""),"Atrasado")</f>
        <v>Atrasado</v>
      </c>
      <c r="G46" s="20" t="str">
        <f aca="false">IFERROR(__xludf.dummyfunction("""COMPUTED_VALUE"""),"https://drive.google.com/open?id=1pw4FQdFq8Jbifdey8XamgCiC1VM1oSlb")</f>
        <v>https://drive.google.com/open?id=1pw4FQdFq8Jbifdey8XamgCiC1VM1oSlb</v>
      </c>
    </row>
    <row r="47" customFormat="false" ht="14.25" hidden="false" customHeight="false" outlineLevel="0" collapsed="false">
      <c r="A47" s="18" t="str">
        <f aca="false">IFERROR(MID(D47,1,FIND("|",D47)-1)&amp;"-"&amp;C47,"")</f>
        <v>AICI201804-7-7-4</v>
      </c>
      <c r="B47" s="19" t="n">
        <f aca="false">IFERROR(__xludf.dummyfunction("""COMPUTED_VALUE"""),44596)</f>
        <v>44596</v>
      </c>
      <c r="C47" s="0" t="n">
        <f aca="false">IFERROR(__xludf.dummyfunction("""COMPUTED_VALUE"""),4)</f>
        <v>4</v>
      </c>
      <c r="D47" s="0" t="str">
        <f aca="false">IFERROR(__xludf.dummyfunction("""COMPUTED_VALUE"""),"AICI201804-7-7| Implementar el Anexo 8 de la Resolución 3047 de 2008, en lo que corresponde a la Subred Integrada de Servicios de Salud Norte E.S.E., a través de un reporte por el sistema de información - 31/12/2019")</f>
        <v>AICI201804-7-7| Implementar el Anexo 8 de la Resolución 3047 de 2008, en lo que corresponde a la Subred Integrada de Servicios de Salud Norte E.S.E., a través de un reporte por el sistema de información - 31/12/2019</v>
      </c>
      <c r="E47" s="0" t="str">
        <f aca="false">IFERROR(__xludf.dummyfunction("""COMPUTED_VALUE"""),"A 31 de diciembre de 2021, la Subred Norte E.S.E, cuenta con el sistema de información Servinte, en donde se genera el registro de las facturas y su respectiva trazabilidad, permitiendo generar la consulta y los archivos de acuerdo a lo contemplado en la "&amp;"Resolución No. 3047 anexo 8, es importante mencionar que en cuanto al módulo de glosas finalizamos la fase de pruebas e iniciamos el proceso de recepción a través del modulo. 
1. Adjunto reporte de recepción del ERP Clinical 
2. Adjunto detalle de lo rece"&amp;"pcionado y tramitado cierre de diciembre de 2021, con lo cual se evidencia el control de fechas y saldos.
3. Conciliación de glosas tramitadas.
4. Conciliación de recepción de glosas.")</f>
        <v>A 31 de diciembre de 2021, la Subred Norte E.S.E, cuenta con el sistema de información Servinte, en donde se genera el registro de las facturas y su respectiva trazabilidad, permitiendo generar la consulta y los archivos de acuerdo a lo contemplado en la Resolución No. 3047 anexo 8, es importante mencionar que en cuanto al módulo de glosas finalizamos la fase de pruebas e iniciamos el proceso de recepción a través del modulo. 
1. Adjunto reporte de recepción del ERP Clinical 
2. Adjunto detalle de lo recepcionado y tramitado cierre de diciembre de 2021, con lo cual se evidencia el control de fechas y saldos.
3. Conciliación de glosas tramitadas.
4. Conciliación de recepción de glosas.</v>
      </c>
      <c r="F47" s="0" t="str">
        <f aca="false">IFERROR(__xludf.dummyfunction("""COMPUTED_VALUE"""),"Completo")</f>
        <v>Completo</v>
      </c>
      <c r="G47" s="0" t="str">
        <f aca="false">IFERROR(__xludf.dummyfunction("""COMPUTED_VALUE"""),"https://drive.google.com/open?id=1NIlv4G1lrPa3RK2mv7Ck1pRonx81otuv, https://drive.google.com/open?id=1DIQxtxPEadJTB1fnTWTdvlnivjjnPP8k")</f>
        <v>https://drive.google.com/open?id=1NIlv4G1lrPa3RK2mv7Ck1pRonx81otuv, https://drive.google.com/open?id=1DIQxtxPEadJTB1fnTWTdvlnivjjnPP8k</v>
      </c>
    </row>
    <row r="48" customFormat="false" ht="14.25" hidden="false" customHeight="false" outlineLevel="0" collapsed="false">
      <c r="A48" s="18" t="str">
        <f aca="false">IFERROR(MID(D48,1,FIND("|",D48)-1)&amp;"-"&amp;C48,"")</f>
        <v>AICI201804-8-8-4</v>
      </c>
      <c r="B48" s="19" t="n">
        <f aca="false">IFERROR(__xludf.dummyfunction("""COMPUTED_VALUE"""),44596)</f>
        <v>44596</v>
      </c>
      <c r="C48" s="0" t="n">
        <f aca="false">IFERROR(__xludf.dummyfunction("""COMPUTED_VALUE"""),4)</f>
        <v>4</v>
      </c>
      <c r="D48" s="0" t="str">
        <f aca="false">IFERROR(__xludf.dummyfunction("""COMPUTED_VALUE"""),"AICI201804-8-8| Determinar la estructura del reporte del información para ser generado por el sistema institucional. - 20/02/2019")</f>
        <v>AICI201804-8-8| Determinar la estructura del reporte del información para ser generado por el sistema institucional. - 20/02/2019</v>
      </c>
      <c r="E48" s="0" t="str">
        <f aca="false">IFERROR(__xludf.dummyfunction("""COMPUTED_VALUE"""),"En diciembre de 2021 se genera el detallado de cartera a nivel de factura con lo cual se generan los reportes a necesidad exigidos por los diferentes stakeholders de la Entidad, evidenciados en los reportes debidamente conciliados. Lo anterior se evidenci"&amp;"a a partir de la cartera detallada debidamente conciliada y su diferentes vistas.")</f>
        <v>En diciembre de 2021 se genera el detallado de cartera a nivel de factura con lo cual se generan los reportes a necesidad exigidos por los diferentes stakeholders de la Entidad, evidenciados en los reportes debidamente conciliados. Lo anterior se evidencia a partir de la cartera detallada debidamente conciliada y su diferentes vistas.</v>
      </c>
      <c r="F48" s="0" t="str">
        <f aca="false">IFERROR(__xludf.dummyfunction("""COMPUTED_VALUE"""),"Completo")</f>
        <v>Completo</v>
      </c>
      <c r="G48" s="0" t="str">
        <f aca="false">IFERROR(__xludf.dummyfunction("""COMPUTED_VALUE"""),"https://drive.google.com/open?id=1m7aPkmN2e5N0tpHfDjFAMvxhUt7XY-cS, https://drive.google.com/open?id=10bJbdOQOwYDn-aSMg60Le6r6wpd-dVWQ")</f>
        <v>https://drive.google.com/open?id=1m7aPkmN2e5N0tpHfDjFAMvxhUt7XY-cS, https://drive.google.com/open?id=10bJbdOQOwYDn-aSMg60Le6r6wpd-dVWQ</v>
      </c>
    </row>
    <row r="49" customFormat="false" ht="14.25" hidden="false" customHeight="false" outlineLevel="0" collapsed="false">
      <c r="A49" s="18" t="str">
        <f aca="false">IFERROR(MID(D49,1,FIND("|",D49)-1)&amp;"-"&amp;C49,"")</f>
        <v>AICI201804-11-11-4</v>
      </c>
      <c r="B49" s="19" t="n">
        <f aca="false">IFERROR(__xludf.dummyfunction("""COMPUTED_VALUE"""),44596)</f>
        <v>44596</v>
      </c>
      <c r="C49" s="0" t="n">
        <f aca="false">IFERROR(__xludf.dummyfunction("""COMPUTED_VALUE"""),4)</f>
        <v>4</v>
      </c>
      <c r="D49" s="0" t="str">
        <f aca="false">IFERROR(__xludf.dummyfunction("""COMPUTED_VALUE"""),"AICI201804-11-11| Desarrollar en conjunto con sistemas el reporte de trazabilidad de facturas en el caso de devoluciones y glosas - 30/04/2019")</f>
        <v>AICI201804-11-11| Desarrollar en conjunto con sistemas el reporte de trazabilidad de facturas en el caso de devoluciones y glosas - 30/04/2019</v>
      </c>
      <c r="E49" s="0" t="str">
        <f aca="false">IFERROR(__xludf.dummyfunction("""COMPUTED_VALUE"""),"Con corte a 31 de diciembre de 2021, la Subred Norte E.S.E, cuenta con el sistema de información Servinte, en donde se genera el registro de las facturas y su respectiva trazabilidad, permitiendo generar la consulta y los archivos de acuerdo a lo contempl"&amp;"ado en la Resolución No. 3047 anexo 8, es importante mencionar que en cuanto al módulo de glosas finalizamos la fase de pruebas e iniciamos el proceso de recepción a través del modulo. 
1. Adjunto reporte de recepción del ERP Clinical 
2. Adjunto detalle "&amp;"de lo recepcionado y tramitado cierre de diciembre de 2021, con lo cual se evidencia el control de fechas y saldos.
3. Conciliación de glosas tramitadas.
4. Conciliación de recepción de glosas.")</f>
        <v>Con corte a 31 de diciembre de 2021, la Subred Norte E.S.E, cuenta con el sistema de información Servinte, en donde se genera el registro de las facturas y su respectiva trazabilidad, permitiendo generar la consulta y los archivos de acuerdo a lo contemplado en la Resolución No. 3047 anexo 8, es importante mencionar que en cuanto al módulo de glosas finalizamos la fase de pruebas e iniciamos el proceso de recepción a través del modulo. 
1. Adjunto reporte de recepción del ERP Clinical 
2. Adjunto detalle de lo recepcionado y tramitado cierre de diciembre de 2021, con lo cual se evidencia el control de fechas y saldos.
3. Conciliación de glosas tramitadas.
4. Conciliación de recepción de glosas.</v>
      </c>
      <c r="F49" s="0" t="str">
        <f aca="false">IFERROR(__xludf.dummyfunction("""COMPUTED_VALUE"""),"Completo")</f>
        <v>Completo</v>
      </c>
      <c r="G49" s="0" t="str">
        <f aca="false">IFERROR(__xludf.dummyfunction("""COMPUTED_VALUE"""),"https://drive.google.com/open?id=1ENXRGNWabg5pGCuG1QwUs7oDv-L_J-rt, https://drive.google.com/open?id=1m-QxaTHdV-yx73hXGb3nV5MtlQ1cMswF, https://drive.google.com/open?id=1scY3o_I4zJI-aPRjxvpLjsP-yOXSqfdc, https://drive.google.com/open?id=1BBnqSKzramj7lPmJL"&amp;"VSj9U3tUlivWNUL, https://drive.google.com/open?id=1wPhFiREWukADUS8vdgL6jKqZZeU1IXQE")</f>
        <v>https://drive.google.com/open?id=1ENXRGNWabg5pGCuG1QwUs7oDv-L_J-rt, https://drive.google.com/open?id=1m-QxaTHdV-yx73hXGb3nV5MtlQ1cMswF, https://drive.google.com/open?id=1scY3o_I4zJI-aPRjxvpLjsP-yOXSqfdc, https://drive.google.com/open?id=1BBnqSKzramj7lPmJLVSj9U3tUlivWNUL, https://drive.google.com/open?id=1wPhFiREWukADUS8vdgL6jKqZZeU1IXQE</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row r="68" customFormat="false" ht="14.25" hidden="false" customHeight="false" outlineLevel="0" collapsed="false">
      <c r="A68" s="18" t="str">
        <f aca="false">IFERROR(MID(D68,1,FIND("|",D68)-1)&amp;"-"&amp;C68,"")</f>
        <v/>
      </c>
    </row>
    <row r="69" customFormat="false" ht="14.25" hidden="false" customHeight="false" outlineLevel="0" collapsed="false">
      <c r="A69" s="18" t="str">
        <f aca="false">IFERROR(MID(D69,1,FIND("|",D69)-1)&amp;"-"&amp;C69,"")</f>
        <v/>
      </c>
    </row>
    <row r="70" customFormat="false" ht="14.25" hidden="false" customHeight="false" outlineLevel="0" collapsed="false">
      <c r="A70" s="18" t="str">
        <f aca="false">IFERROR(MID(D70,1,FIND("|",D70)-1)&amp;"-"&amp;C70,"")</f>
        <v/>
      </c>
    </row>
    <row r="71" customFormat="false" ht="14.25" hidden="false" customHeight="false" outlineLevel="0" collapsed="false">
      <c r="A71" s="18" t="str">
        <f aca="false">IFERROR(MID(D71,1,FIND("|",D71)-1)&amp;"-"&amp;C71,"")</f>
        <v/>
      </c>
    </row>
    <row r="72" customFormat="false" ht="14.25" hidden="false" customHeight="false" outlineLevel="0" collapsed="false">
      <c r="A72" s="18" t="str">
        <f aca="false">IFERROR(MID(D72,1,FIND("|",D72)-1)&amp;"-"&amp;C72,"")</f>
        <v/>
      </c>
    </row>
    <row r="73" customFormat="false" ht="14.25" hidden="false" customHeight="false" outlineLevel="0" collapsed="false">
      <c r="A73" s="18" t="str">
        <f aca="false">IFERROR(MID(D73,1,FIND("|",D73)-1)&amp;"-"&amp;C73,"")</f>
        <v/>
      </c>
    </row>
    <row r="74" customFormat="false" ht="14.25" hidden="false" customHeight="false" outlineLevel="0" collapsed="false">
      <c r="A74" s="18" t="str">
        <f aca="false">IFERROR(MID(D74,1,FIND("|",D74)-1)&amp;"-"&amp;C74,"")</f>
        <v/>
      </c>
    </row>
    <row r="75" customFormat="false" ht="14.25" hidden="false" customHeight="false" outlineLevel="0" collapsed="false">
      <c r="A75" s="18" t="str">
        <f aca="false">IFERROR(MID(D75,1,FIND("|",D75)-1)&amp;"-"&amp;C75,"")</f>
        <v/>
      </c>
    </row>
    <row r="76" customFormat="false" ht="14.25" hidden="false" customHeight="false" outlineLevel="0" collapsed="false">
      <c r="A76" s="18" t="str">
        <f aca="false">IFERROR(MID(D76,1,FIND("|",D76)-1)&amp;"-"&amp;C76,"")</f>
        <v/>
      </c>
    </row>
    <row r="77" customFormat="false" ht="14.25" hidden="false" customHeight="false" outlineLevel="0" collapsed="false">
      <c r="A77" s="18" t="str">
        <f aca="false">IFERROR(MID(D77,1,FIND("|",D77)-1)&amp;"-"&amp;C77,"")</f>
        <v/>
      </c>
    </row>
    <row r="78" customFormat="false" ht="14.25" hidden="false" customHeight="false" outlineLevel="0" collapsed="false">
      <c r="A78" s="18" t="str">
        <f aca="false">IFERROR(MID(D78,1,FIND("|",D78)-1)&amp;"-"&amp;C78,"")</f>
        <v/>
      </c>
    </row>
    <row r="79" customFormat="false" ht="14.25" hidden="false" customHeight="false" outlineLevel="0" collapsed="false">
      <c r="A79" s="18" t="str">
        <f aca="false">IFERROR(MID(D79,1,FIND("|",D79)-1)&amp;"-"&amp;C79,"")</f>
        <v/>
      </c>
    </row>
    <row r="80" customFormat="false" ht="14.25" hidden="false" customHeight="false" outlineLevel="0" collapsed="false">
      <c r="A80" s="18" t="str">
        <f aca="false">IFERROR(MID(D80,1,FIND("|",D80)-1)&amp;"-"&amp;C80,"")</f>
        <v/>
      </c>
    </row>
    <row r="81" customFormat="false" ht="14.25" hidden="false" customHeight="false" outlineLevel="0" collapsed="false">
      <c r="A81" s="18" t="str">
        <f aca="false">IFERROR(MID(D81,1,FIND("|",D81)-1)&amp;"-"&amp;C81,"")</f>
        <v/>
      </c>
    </row>
    <row r="82" customFormat="false" ht="14.25" hidden="false" customHeight="false" outlineLevel="0" collapsed="false">
      <c r="A82" s="18" t="str">
        <f aca="false">IFERROR(MID(D82,1,FIND("|",D82)-1)&amp;"-"&amp;C82,"")</f>
        <v/>
      </c>
    </row>
    <row r="83" customFormat="false" ht="14.25" hidden="false" customHeight="false" outlineLevel="0" collapsed="false">
      <c r="A83" s="18" t="str">
        <f aca="false">IFERROR(MID(D83,1,FIND("|",D83)-1)&amp;"-"&amp;C83,"")</f>
        <v/>
      </c>
    </row>
    <row r="84" customFormat="false" ht="14.25" hidden="false" customHeight="false" outlineLevel="0" collapsed="false">
      <c r="A84" s="18" t="str">
        <f aca="false">IFERROR(MID(D84,1,FIND("|",D84)-1)&amp;"-"&amp;C84,"")</f>
        <v/>
      </c>
    </row>
    <row r="85" customFormat="false" ht="14.25" hidden="false" customHeight="false" outlineLevel="0" collapsed="false">
      <c r="A85" s="18" t="str">
        <f aca="false">IFERROR(MID(D85,1,FIND("|",D85)-1)&amp;"-"&amp;C85,"")</f>
        <v/>
      </c>
    </row>
    <row r="86" customFormat="false" ht="14.25" hidden="false" customHeight="false" outlineLevel="0" collapsed="false">
      <c r="A86" s="18" t="str">
        <f aca="false">IFERROR(MID(D86,1,FIND("|",D86)-1)&amp;"-"&amp;C86,"")</f>
        <v/>
      </c>
    </row>
    <row r="87" customFormat="false" ht="14.25" hidden="false" customHeight="false" outlineLevel="0" collapsed="false">
      <c r="A87" s="18" t="str">
        <f aca="false">IFERROR(MID(D87,1,FIND("|",D87)-1)&amp;"-"&amp;C87,"")</f>
        <v/>
      </c>
    </row>
    <row r="88" customFormat="false" ht="14.25" hidden="false" customHeight="false" outlineLevel="0" collapsed="false">
      <c r="A88" s="18" t="str">
        <f aca="false">IFERROR(MID(D88,1,FIND("|",D88)-1)&amp;"-"&amp;C88,"")</f>
        <v/>
      </c>
    </row>
    <row r="89" customFormat="false" ht="14.25" hidden="false" customHeight="false" outlineLevel="0" collapsed="false">
      <c r="A89" s="18" t="str">
        <f aca="false">IFERROR(MID(D89,1,FIND("|",D89)-1)&amp;"-"&amp;C89,"")</f>
        <v/>
      </c>
    </row>
    <row r="90" customFormat="false" ht="14.25" hidden="false" customHeight="false" outlineLevel="0" collapsed="false">
      <c r="A90" s="18" t="str">
        <f aca="false">IFERROR(MID(D90,1,FIND("|",D90)-1)&amp;"-"&amp;C90,"")</f>
        <v/>
      </c>
    </row>
    <row r="91" customFormat="false" ht="14.25" hidden="false" customHeight="false" outlineLevel="0" collapsed="false">
      <c r="A91" s="18" t="str">
        <f aca="false">IFERROR(MID(D91,1,FIND("|",D91)-1)&amp;"-"&amp;C91,"")</f>
        <v/>
      </c>
    </row>
    <row r="92" customFormat="false" ht="14.25" hidden="false" customHeight="false" outlineLevel="0" collapsed="false">
      <c r="A92" s="18" t="str">
        <f aca="false">IFERROR(MID(D92,1,FIND("|",D92)-1)&amp;"-"&amp;C92,"")</f>
        <v/>
      </c>
    </row>
    <row r="93" customFormat="false" ht="14.25" hidden="false" customHeight="false" outlineLevel="0" collapsed="false">
      <c r="A93" s="18" t="str">
        <f aca="false">IFERROR(MID(D93,1,FIND("|",D93)-1)&amp;"-"&amp;C93,"")</f>
        <v/>
      </c>
    </row>
    <row r="94" customFormat="false" ht="14.25" hidden="false" customHeight="false" outlineLevel="0" collapsed="false">
      <c r="A94" s="18" t="str">
        <f aca="false">IFERROR(MID(D94,1,FIND("|",D94)-1)&amp;"-"&amp;C94,"")</f>
        <v/>
      </c>
    </row>
    <row r="95" customFormat="false" ht="14.25" hidden="false" customHeight="false" outlineLevel="0" collapsed="false">
      <c r="A95" s="18" t="str">
        <f aca="false">IFERROR(MID(D95,1,FIND("|",D95)-1)&amp;"-"&amp;C95,"")</f>
        <v/>
      </c>
    </row>
    <row r="96" customFormat="false" ht="14.25" hidden="false" customHeight="false" outlineLevel="0" collapsed="false">
      <c r="A96" s="18" t="str">
        <f aca="false">IFERROR(MID(D96,1,FIND("|",D96)-1)&amp;"-"&amp;C96,"")</f>
        <v/>
      </c>
    </row>
    <row r="97" customFormat="false" ht="14.25" hidden="false" customHeight="false" outlineLevel="0" collapsed="false">
      <c r="A97" s="18" t="str">
        <f aca="false">IFERROR(MID(D97,1,FIND("|",D97)-1)&amp;"-"&amp;C97,"")</f>
        <v/>
      </c>
    </row>
    <row r="98" customFormat="false" ht="14.25" hidden="false" customHeight="false" outlineLevel="0" collapsed="false">
      <c r="A98" s="18" t="str">
        <f aca="false">IFERROR(MID(D98,1,FIND("|",D98)-1)&amp;"-"&amp;C98,"")</f>
        <v/>
      </c>
    </row>
    <row r="99" customFormat="false" ht="14.25" hidden="false" customHeight="false" outlineLevel="0" collapsed="false">
      <c r="A99" s="18" t="str">
        <f aca="false">IFERROR(MID(D99,1,FIND("|",D99)-1)&amp;"-"&amp;C99,"")</f>
        <v/>
      </c>
    </row>
    <row r="100" customFormat="false" ht="14.25" hidden="false" customHeight="false" outlineLevel="0" collapsed="false">
      <c r="A100" s="18" t="str">
        <f aca="false">IFERROR(MID(D100,1,FIND("|",D100)-1)&amp;"-"&amp;C100,"")</f>
        <v/>
      </c>
    </row>
    <row r="101" customFormat="false" ht="14.25" hidden="false" customHeight="false" outlineLevel="0" collapsed="false">
      <c r="A101" s="18" t="str">
        <f aca="false">IFERROR(MID(D101,1,FIND("|",D101)-1)&amp;"-"&amp;C101,"")</f>
        <v/>
      </c>
    </row>
    <row r="102" customFormat="false" ht="14.25" hidden="false" customHeight="false" outlineLevel="0" collapsed="false">
      <c r="A102" s="18" t="str">
        <f aca="false">IFERROR(MID(D102,1,FIND("|",D102)-1)&amp;"-"&amp;C102,"")</f>
        <v/>
      </c>
    </row>
    <row r="103" customFormat="false" ht="14.25" hidden="false" customHeight="false" outlineLevel="0" collapsed="false">
      <c r="A103" s="18" t="str">
        <f aca="false">IFERROR(MID(D103,1,FIND("|",D103)-1)&amp;"-"&amp;C103,"")</f>
        <v/>
      </c>
    </row>
    <row r="104" customFormat="false" ht="14.25" hidden="false" customHeight="false" outlineLevel="0" collapsed="false">
      <c r="A104" s="18" t="str">
        <f aca="false">IFERROR(MID(D104,1,FIND("|",D104)-1)&amp;"-"&amp;C104,"")</f>
        <v/>
      </c>
    </row>
    <row r="105" customFormat="false" ht="14.25" hidden="false" customHeight="false" outlineLevel="0" collapsed="false">
      <c r="A105" s="18" t="str">
        <f aca="false">IFERROR(MID(D105,1,FIND("|",D105)-1)&amp;"-"&amp;C105,"")</f>
        <v/>
      </c>
    </row>
    <row r="106" customFormat="false" ht="14.25" hidden="false" customHeight="false" outlineLevel="0" collapsed="false">
      <c r="A106" s="18" t="str">
        <f aca="false">IFERROR(MID(D106,1,FIND("|",D106)-1)&amp;"-"&amp;C106,"")</f>
        <v/>
      </c>
    </row>
    <row r="107" customFormat="false" ht="14.25" hidden="false" customHeight="false" outlineLevel="0" collapsed="false">
      <c r="A107" s="18" t="str">
        <f aca="false">IFERROR(MID(D107,1,FIND("|",D107)-1)&amp;"-"&amp;C107,"")</f>
        <v/>
      </c>
    </row>
    <row r="108" customFormat="false" ht="14.25" hidden="false" customHeight="false" outlineLevel="0" collapsed="false">
      <c r="A108" s="18" t="str">
        <f aca="false">IFERROR(MID(D108,1,FIND("|",D108)-1)&amp;"-"&amp;C108,"")</f>
        <v/>
      </c>
    </row>
    <row r="109" customFormat="false" ht="14.25" hidden="false" customHeight="false" outlineLevel="0" collapsed="false">
      <c r="A109" s="18" t="str">
        <f aca="false">IFERROR(MID(D109,1,FIND("|",D109)-1)&amp;"-"&amp;C109,"")</f>
        <v/>
      </c>
    </row>
    <row r="110" customFormat="false" ht="14.25" hidden="false" customHeight="false" outlineLevel="0" collapsed="false">
      <c r="A110" s="18" t="str">
        <f aca="false">IFERROR(MID(D110,1,FIND("|",D110)-1)&amp;"-"&amp;C110,"")</f>
        <v/>
      </c>
    </row>
    <row r="111" customFormat="false" ht="14.25" hidden="false" customHeight="false" outlineLevel="0" collapsed="false">
      <c r="A111" s="18" t="str">
        <f aca="false">IFERROR(MID(D111,1,FIND("|",D111)-1)&amp;"-"&amp;C111,"")</f>
        <v/>
      </c>
    </row>
    <row r="112" customFormat="false" ht="14.25" hidden="false" customHeight="false" outlineLevel="0" collapsed="false">
      <c r="A112" s="18" t="str">
        <f aca="false">IFERROR(MID(D112,1,FIND("|",D112)-1)&amp;"-"&amp;C112,"")</f>
        <v/>
      </c>
    </row>
    <row r="113" customFormat="false" ht="14.25" hidden="false" customHeight="false" outlineLevel="0" collapsed="false">
      <c r="A113" s="18" t="str">
        <f aca="false">IFERROR(MID(D113,1,FIND("|",D113)-1)&amp;"-"&amp;C113,"")</f>
        <v/>
      </c>
    </row>
    <row r="114" customFormat="false" ht="14.25" hidden="false" customHeight="false" outlineLevel="0" collapsed="false">
      <c r="A114" s="18" t="str">
        <f aca="false">IFERROR(MID(D114,1,FIND("|",D114)-1)&amp;"-"&amp;C114,"")</f>
        <v/>
      </c>
    </row>
    <row r="115" customFormat="false" ht="14.25" hidden="false" customHeight="false" outlineLevel="0" collapsed="false">
      <c r="A115" s="18" t="str">
        <f aca="false">IFERROR(MID(D115,1,FIND("|",D115)-1)&amp;"-"&amp;C115,"")</f>
        <v/>
      </c>
    </row>
    <row r="116" customFormat="false" ht="14.25" hidden="false" customHeight="false" outlineLevel="0" collapsed="false">
      <c r="A116" s="18" t="str">
        <f aca="false">IFERROR(MID(D116,1,FIND("|",D116)-1)&amp;"-"&amp;C116,"")</f>
        <v/>
      </c>
    </row>
    <row r="117" customFormat="false" ht="14.25" hidden="false" customHeight="false" outlineLevel="0" collapsed="false">
      <c r="A117" s="18" t="str">
        <f aca="false">IFERROR(MID(D117,1,FIND("|",D117)-1)&amp;"-"&amp;C117,"")</f>
        <v/>
      </c>
    </row>
    <row r="118" customFormat="false" ht="14.25" hidden="false" customHeight="false" outlineLevel="0" collapsed="false">
      <c r="A118" s="18" t="str">
        <f aca="false">IFERROR(MID(D118,1,FIND("|",D118)-1)&amp;"-"&amp;C118,"")</f>
        <v/>
      </c>
    </row>
    <row r="119" customFormat="false" ht="14.25" hidden="false" customHeight="false" outlineLevel="0" collapsed="false">
      <c r="A119" s="18" t="str">
        <f aca="false">IFERROR(MID(D119,1,FIND("|",D119)-1)&amp;"-"&amp;C119,"")</f>
        <v/>
      </c>
    </row>
    <row r="120" customFormat="false" ht="14.25" hidden="false" customHeight="false" outlineLevel="0" collapsed="false">
      <c r="A120" s="18" t="str">
        <f aca="false">IFERROR(MID(D120,1,FIND("|",D120)-1)&amp;"-"&amp;C120,"")</f>
        <v/>
      </c>
    </row>
    <row r="121" customFormat="false" ht="14.25" hidden="false" customHeight="false" outlineLevel="0" collapsed="false">
      <c r="A121" s="18" t="str">
        <f aca="false">IFERROR(MID(D121,1,FIND("|",D121)-1)&amp;"-"&amp;C121,"")</f>
        <v/>
      </c>
    </row>
    <row r="122" customFormat="false" ht="14.25" hidden="false" customHeight="false" outlineLevel="0" collapsed="false">
      <c r="A122" s="18" t="str">
        <f aca="false">IFERROR(MID(D122,1,FIND("|",D122)-1)&amp;"-"&amp;C122,"")</f>
        <v/>
      </c>
    </row>
    <row r="123" customFormat="false" ht="14.25" hidden="false" customHeight="false" outlineLevel="0" collapsed="false">
      <c r="A123" s="18" t="str">
        <f aca="false">IFERROR(MID(D123,1,FIND("|",D123)-1)&amp;"-"&amp;C123,"")</f>
        <v/>
      </c>
    </row>
    <row r="124" customFormat="false" ht="14.25" hidden="false" customHeight="false" outlineLevel="0" collapsed="false">
      <c r="A124" s="18" t="str">
        <f aca="false">IFERROR(MID(D124,1,FIND("|",D124)-1)&amp;"-"&amp;C124,"")</f>
        <v/>
      </c>
    </row>
    <row r="125" customFormat="false" ht="14.25" hidden="false" customHeight="false" outlineLevel="0" collapsed="false">
      <c r="A125" s="18" t="str">
        <f aca="false">IFERROR(MID(D125,1,FIND("|",D125)-1)&amp;"-"&amp;C125,"")</f>
        <v/>
      </c>
    </row>
    <row r="126" customFormat="false" ht="14.25" hidden="false" customHeight="false" outlineLevel="0" collapsed="false">
      <c r="A126" s="18" t="str">
        <f aca="false">IFERROR(MID(D126,1,FIND("|",D126)-1)&amp;"-"&amp;C126,"")</f>
        <v/>
      </c>
    </row>
    <row r="127" customFormat="false" ht="14.25" hidden="false" customHeight="false" outlineLevel="0" collapsed="false">
      <c r="A127" s="18" t="str">
        <f aca="false">IFERROR(MID(D127,1,FIND("|",D127)-1)&amp;"-"&amp;C127,"")</f>
        <v/>
      </c>
    </row>
    <row r="128" customFormat="false" ht="14.25" hidden="false" customHeight="false" outlineLevel="0" collapsed="false">
      <c r="A128" s="18" t="str">
        <f aca="false">IFERROR(MID(D128,1,FIND("|",D128)-1)&amp;"-"&amp;C128,"")</f>
        <v/>
      </c>
    </row>
    <row r="129" customFormat="false" ht="14.25" hidden="false" customHeight="false" outlineLevel="0" collapsed="false">
      <c r="A129" s="18" t="str">
        <f aca="false">IFERROR(MID(D129,1,FIND("|",D129)-1)&amp;"-"&amp;C129,"")</f>
        <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sheetData>
  <hyperlinks>
    <hyperlink ref="G4" r:id="rId1" display="https://drive.google.com/open?id=1FdQg9KhT4ivIMFoldKJcx0jIle8ZWi5t"/>
    <hyperlink ref="G7" r:id="rId2" display="https://drive.google.com/open?id=13hgVtZYZqy3lH-StBYEAaEXHiHERCe9r"/>
    <hyperlink ref="G13" r:id="rId3" display="https://drive.google.com/open?id=1CRtk6TNcNElUxWC3pOdmYLKPJX936B7E"/>
    <hyperlink ref="G14" r:id="rId4" display="https://drive.google.com/open?id=13tSj1lckHfNil8gpJXCeBtmVjqHjTD5A"/>
    <hyperlink ref="G17" r:id="rId5" display="https://drive.google.com/open?id=1xqEgpuCoB8xFysOwPZcsiIMqknJ-qXGM"/>
    <hyperlink ref="G32" r:id="rId6" display="https://drive.google.com/open?id=12wcMzoTPtzX0QXl-Gwx9PECxShnBofoL"/>
    <hyperlink ref="G43" r:id="rId7" display="https://drive.google.com/open?id=1H3jK2yc_KOtHujCByUiDJq5EHr_NKKRn"/>
    <hyperlink ref="G44" r:id="rId8" display="https://drive.google.com/open?id=1NDKCbXp41U4pJwg1ufvG7wc0lSKnbxCX"/>
    <hyperlink ref="G45" r:id="rId9" display="https://drive.google.com/open?id=1YDrQiCkp7N6m7Iklm1mhnW1xmb0LgkSo"/>
    <hyperlink ref="G46" r:id="rId10" display="https://drive.google.com/open?id=1pw4FQdFq8Jbifdey8XamgCiC1VM1oSlb"/>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9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28.29"/>
    <col collapsed="false" customWidth="true" hidden="false" outlineLevel="0" max="3" min="3" style="0" width="6.71"/>
    <col collapsed="false" customWidth="true" hidden="false" outlineLevel="0" max="4" min="4" style="0" width="14.86"/>
  </cols>
  <sheetData>
    <row r="1" customFormat="false" ht="14.25" hidden="false" customHeight="false" outlineLevel="0" collapsed="false">
      <c r="A1" s="13" t="s">
        <v>1854</v>
      </c>
      <c r="B1" s="23" t="s">
        <v>1855</v>
      </c>
      <c r="C1" s="13" t="s">
        <v>1831</v>
      </c>
      <c r="D1" s="13" t="s">
        <v>1832</v>
      </c>
      <c r="E1" s="13" t="s">
        <v>1833</v>
      </c>
      <c r="F1" s="13" t="s">
        <v>1834</v>
      </c>
      <c r="G1" s="13" t="s">
        <v>1835</v>
      </c>
    </row>
    <row r="2" customFormat="false" ht="8.25" hidden="false" customHeight="true" outlineLevel="0" collapsed="false">
      <c r="A2" s="22"/>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IFERROR(__xludf.dummyfunction("IMPORTRANGE($A$1,""rpta!""&amp;G1)"),"Efectiva")</f>
        <v>Efectiva</v>
      </c>
    </row>
    <row r="4" customFormat="false" ht="14.25" hidden="false" customHeight="false" outlineLevel="0" collapsed="false">
      <c r="A4" s="18" t="str">
        <f aca="false">IFERROR(MID(D4,1,FIND("|",D4)-1)&amp;"-"&amp;C4,"")</f>
        <v>AICI201805-1-1-1</v>
      </c>
      <c r="B4" s="19" t="n">
        <f aca="false">IFERROR(__xludf.dummyfunction("""COMPUTED_VALUE"""),43591)</f>
        <v>43591</v>
      </c>
      <c r="C4" s="0" t="n">
        <f aca="false">IFERROR(__xludf.dummyfunction("""COMPUTED_VALUE"""),1)</f>
        <v>1</v>
      </c>
      <c r="D4" s="0" t="str">
        <f aca="false">IFERROR(__xludf.dummyfunction("""COMPUTED_VALUE"""),"AICI201805-1-1| Elaborar los instructivos de Liquidación y pago de nómina y Autoliquidación de planilla única de seguridad social y parafiscales y realizar la normalizacion del mismo. - 3/31/2019")</f>
        <v>AICI201805-1-1| Elaborar los instructivos de Liquidación y pago de nómina y Autoliquidación de planilla única de seguridad social y parafiscales y realizar la normalizacion del mismo. - 3/31/2019</v>
      </c>
      <c r="E4" s="0" t="str">
        <f aca="false">IFERROR(__xludf.dummyfunction("""COMPUTED_VALUE"""),"Se elaboro el Instructivo liquidacion nomina el cual se paso a calidad para su revisión y codificacion el cual se entregara Normalizado en el II trimestre. ")</f>
        <v>Se elaboro el Instructivo liquidacion nomina el cual se paso a calidad para su revisión y codificacion el cual se entregara Normalizado en el II trimestre. </v>
      </c>
      <c r="F4" s="0" t="str">
        <f aca="false">IFERROR(__xludf.dummyfunction("""COMPUTED_VALUE"""),"En desarrollo")</f>
        <v>En desarrollo</v>
      </c>
    </row>
    <row r="5" customFormat="false" ht="14.25" hidden="false" customHeight="false" outlineLevel="0" collapsed="false">
      <c r="A5" s="18" t="str">
        <f aca="false">IFERROR(MID(D5,1,FIND("|",D5)-1)&amp;"-"&amp;C5,"")</f>
        <v>AICI201805-3-1-1</v>
      </c>
      <c r="B5" s="19" t="n">
        <f aca="false">IFERROR(__xludf.dummyfunction("""COMPUTED_VALUE"""),43591)</f>
        <v>43591</v>
      </c>
      <c r="C5" s="0" t="n">
        <f aca="false">IFERROR(__xludf.dummyfunction("""COMPUTED_VALUE"""),1)</f>
        <v>1</v>
      </c>
      <c r="D5" s="0" t="str">
        <f aca="false">IFERROR(__xludf.dummyfunction("""COMPUTED_VALUE"""),"AICI201805-3-1| A1. Elaborar matriz de seguimiento a las historias laborales de los funcionarios con derecho cesantias retroactivas con el fin de establecer las difernecias que pudieren existir en las liquidaciones parciales que se han realizado a las sol"&amp;"icitudes de los trabajadores. - 9/30/2019")</f>
        <v>AICI201805-3-1| A1. Elaborar matriz de seguimiento a las historias laborales de los funcionarios con derecho cesantias retroactivas con el fin de establecer las difernecias que pudieren existir en las liquidaciones parciales que se han realizado a las solicitudes de los trabajadores. - 9/30/2019</v>
      </c>
      <c r="E5" s="0" t="str">
        <f aca="false">IFERROR(__xludf.dummyfunction("""COMPUTED_VALUE"""),"Se han revisado  en su totalidad 58  Historias Laborales,  para establecer  Cesantías entregadas con corte a 31 de diciembre de 2018, de un total de 366. Anexo listado, matriz puede ser consultada en Gestión Humana, Proceso de cesantías.")</f>
        <v>Se han revisado  en su totalidad 58  Historias Laborales,  para establecer  Cesantías entregadas con corte a 31 de diciembre de 2018, de un total de 366. Anexo listado, matriz puede ser consultada en Gestión Humana, Proceso de cesantías.</v>
      </c>
      <c r="F5" s="0" t="str">
        <f aca="false">IFERROR(__xludf.dummyfunction("""COMPUTED_VALUE"""),"En desarrollo")</f>
        <v>En desarrollo</v>
      </c>
    </row>
    <row r="6" customFormat="false" ht="14.25" hidden="false" customHeight="false" outlineLevel="0" collapsed="false">
      <c r="A6" s="18" t="str">
        <f aca="false">IFERROR(MID(D6,1,FIND("|",D6)-1)&amp;"-"&amp;C6,"")</f>
        <v>AICI201805-3-2-1</v>
      </c>
      <c r="B6" s="19" t="n">
        <f aca="false">IFERROR(__xludf.dummyfunction("""COMPUTED_VALUE"""),43591)</f>
        <v>43591</v>
      </c>
      <c r="C6" s="0" t="n">
        <f aca="false">IFERROR(__xludf.dummyfunction("""COMPUTED_VALUE"""),1)</f>
        <v>1</v>
      </c>
      <c r="D6" s="0" t="str">
        <f aca="false">IFERROR(__xludf.dummyfunction("""COMPUTED_VALUE"""),"AICI201805-3-2| A2. Implementar puntos de control que permitan la verificación de la liquidación emitida (como minimo un tecnico en nómina diferente al liquidador y un profesional de la Dirección de Talento Humano) - 12/31/2019")</f>
        <v>AICI201805-3-2| A2. Implementar puntos de control que permitan la verificación de la liquidación emitida (como minimo un tecnico en nómina diferente al liquidador y un profesional de la Dirección de Talento Humano) - 12/31/2019</v>
      </c>
      <c r="E6" s="0" t="str">
        <f aca="false">IFERROR(__xludf.dummyfunction("""COMPUTED_VALUE"""),"Se implementó control por parte de un Técnico más,  para Simón Bolívar y Engativá el Técnico de Nomina y para suba, chapinero, Usaquén  firma el responsable que en su momento manejaba el proceso de cesantías, adicional a ello, una vez elaborado el cuadro "&amp;"de control los oficios y resoluciones son firmados por un profesional universitario, y la Directora Operativa de Gestión del Talento Humano.")</f>
        <v>Se implementó control por parte de un Técnico más,  para Simón Bolívar y Engativá el Técnico de Nomina y para suba, chapinero, Usaquén  firma el responsable que en su momento manejaba el proceso de cesantías, adicional a ello, una vez elaborado el cuadro de control los oficios y resoluciones son firmados por un profesional universitario, y la Directora Operativa de Gestión del Talento Humano.</v>
      </c>
      <c r="F6" s="0" t="str">
        <f aca="false">IFERROR(__xludf.dummyfunction("""COMPUTED_VALUE"""),"En desarrollo")</f>
        <v>En desarrollo</v>
      </c>
    </row>
    <row r="7" customFormat="false" ht="14.25" hidden="false" customHeight="false" outlineLevel="0" collapsed="false">
      <c r="A7" s="18" t="str">
        <f aca="false">IFERROR(MID(D7,1,FIND("|",D7)-1)&amp;"-"&amp;C7,"")</f>
        <v>AICI201805-4-1-1</v>
      </c>
      <c r="B7" s="19" t="n">
        <f aca="false">IFERROR(__xludf.dummyfunction("""COMPUTED_VALUE"""),43591)</f>
        <v>43591</v>
      </c>
      <c r="C7" s="0" t="n">
        <f aca="false">IFERROR(__xludf.dummyfunction("""COMPUTED_VALUE"""),1)</f>
        <v>1</v>
      </c>
      <c r="D7" s="0" t="str">
        <f aca="false">IFERROR(__xludf.dummyfunction("""COMPUTED_VALUE"""),"AICI201805-4-1| A1. Elaborar matriz de seguimiento a las historias laborales de los funcionarios con derecho cesantias retroactivas con el fin de establecer las difernecias que pudieren existir en las liquidaciones parciales que se han realizado a las sol"&amp;"icitudes de los trabajadores. - 9/30/2019")</f>
        <v>AICI201805-4-1| A1. Elaborar matriz de seguimiento a las historias laborales de los funcionarios con derecho cesantias retroactivas con el fin de establecer las difernecias que pudieren existir en las liquidaciones parciales que se han realizado a las solicitudes de los trabajadores. - 9/30/2019</v>
      </c>
      <c r="E7" s="0" t="str">
        <f aca="false">IFERROR(__xludf.dummyfunction("""COMPUTED_VALUE"""),"Se han revisado  en su totalidad 58  Historias Laborales,  para establecer  Cesantías entregadas con corte a 31 de diciembre de 2018, de un total de 366. Anexo listado, matriz puede ser consultada en Gestión Humana, Proceso de cesantías.")</f>
        <v>Se han revisado  en su totalidad 58  Historias Laborales,  para establecer  Cesantías entregadas con corte a 31 de diciembre de 2018, de un total de 366. Anexo listado, matriz puede ser consultada en Gestión Humana, Proceso de cesantías.</v>
      </c>
      <c r="F7" s="0" t="str">
        <f aca="false">IFERROR(__xludf.dummyfunction("""COMPUTED_VALUE"""),"En desarrollo")</f>
        <v>En desarrollo</v>
      </c>
    </row>
    <row r="8" customFormat="false" ht="14.25" hidden="false" customHeight="false" outlineLevel="0" collapsed="false">
      <c r="A8" s="18" t="str">
        <f aca="false">IFERROR(MID(D8,1,FIND("|",D8)-1)&amp;"-"&amp;C8,"")</f>
        <v>AICI201805-4-2-1</v>
      </c>
      <c r="B8" s="19" t="n">
        <f aca="false">IFERROR(__xludf.dummyfunction("""COMPUTED_VALUE"""),43591)</f>
        <v>43591</v>
      </c>
      <c r="C8" s="0" t="n">
        <f aca="false">IFERROR(__xludf.dummyfunction("""COMPUTED_VALUE"""),1)</f>
        <v>1</v>
      </c>
      <c r="D8" s="0" t="str">
        <f aca="false">IFERROR(__xludf.dummyfunction("""COMPUTED_VALUE"""),"AICI201805-4-2| A2. Implementar puntos de control que permitan la verificación de la liquidación emitida (como minimo un tecnico en nómina diferente al liquidador y un profesional de la Dirección de Talento Humano). - 12/31/2019")</f>
        <v>AICI201805-4-2| A2. Implementar puntos de control que permitan la verificación de la liquidación emitida (como minimo un tecnico en nómina diferente al liquidador y un profesional de la Dirección de Talento Humano). - 12/31/2019</v>
      </c>
      <c r="E8" s="0" t="str">
        <f aca="false">IFERROR(__xludf.dummyfunction("""COMPUTED_VALUE"""),"Se implementó control por parte de un Técnico más,  para Simón Bolívar y Engativá el Técnico de Nomina y para suba, chapinero, Usaquén  firma el responsable que en su momento manejaba el proceso de cesantías, adicional a ello, una vez elaborado el cuadro "&amp;"de control los oficios y resoluciones son firmados por un profesional universitario, y la Directora Operativa de Gestión del Talento Humano.")</f>
        <v>Se implementó control por parte de un Técnico más,  para Simón Bolívar y Engativá el Técnico de Nomina y para suba, chapinero, Usaquén  firma el responsable que en su momento manejaba el proceso de cesantías, adicional a ello, una vez elaborado el cuadro de control los oficios y resoluciones son firmados por un profesional universitario, y la Directora Operativa de Gestión del Talento Humano.</v>
      </c>
      <c r="F8" s="0" t="str">
        <f aca="false">IFERROR(__xludf.dummyfunction("""COMPUTED_VALUE"""),"En desarrollo")</f>
        <v>En desarrollo</v>
      </c>
    </row>
    <row r="9" customFormat="false" ht="14.25" hidden="false" customHeight="false" outlineLevel="0" collapsed="false">
      <c r="A9" s="18" t="str">
        <f aca="false">IFERROR(MID(D9,1,FIND("|",D9)-1)&amp;"-"&amp;C9,"")</f>
        <v>AICI201805-5-1-1</v>
      </c>
      <c r="B9" s="19" t="n">
        <f aca="false">IFERROR(__xludf.dummyfunction("""COMPUTED_VALUE"""),43591)</f>
        <v>43591</v>
      </c>
      <c r="C9" s="0" t="n">
        <f aca="false">IFERROR(__xludf.dummyfunction("""COMPUTED_VALUE"""),1)</f>
        <v>1</v>
      </c>
      <c r="D9" s="0" t="str">
        <f aca="false">IFERROR(__xludf.dummyfunction("""COMPUTED_VALUE"""),"AICI201805-5-1| A1. Realizar el archivo oportuno de los soportes en las historias laborales. - 12/31/2019")</f>
        <v>AICI201805-5-1| A1. Realizar el archivo oportuno de los soportes en las historias laborales. - 12/31/2019</v>
      </c>
      <c r="E9" s="0" t="str">
        <f aca="false">IFERROR(__xludf.dummyfunction("""COMPUTED_VALUE"""),"Se registra en el libro radicador la entrega de los soportes de las  Cesantias aprobadas y esembolsadas a los funcionarios para el archivo en la Historia Laboral, el cual es firmado por el responsable del Archivo Respectivo. Soporte libro radicador - Repo"&amp;"sa en la Direccion de Gestion del Talento Humano ")</f>
        <v>Se registra en el libro radicador la entrega de los soportes de las  Cesantias aprobadas y esembolsadas a los funcionarios para el archivo en la Historia Laboral, el cual es firmado por el responsable del Archivo Respectivo. Soporte libro radicador - Reposa en la Direccion de Gestion del Talento Humano </v>
      </c>
      <c r="F9" s="0" t="str">
        <f aca="false">IFERROR(__xludf.dummyfunction("""COMPUTED_VALUE"""),"En desarrollo")</f>
        <v>En desarrollo</v>
      </c>
    </row>
    <row r="10" customFormat="false" ht="14.25" hidden="false" customHeight="false" outlineLevel="0" collapsed="false">
      <c r="A10" s="18" t="str">
        <f aca="false">IFERROR(MID(D10,1,FIND("|",D10)-1)&amp;"-"&amp;C10,"")</f>
        <v>AICI201805-5-2-1</v>
      </c>
      <c r="B10" s="19" t="n">
        <f aca="false">IFERROR(__xludf.dummyfunction("""COMPUTED_VALUE"""),43591)</f>
        <v>43591</v>
      </c>
      <c r="C10" s="0" t="n">
        <f aca="false">IFERROR(__xludf.dummyfunction("""COMPUTED_VALUE"""),1)</f>
        <v>1</v>
      </c>
      <c r="D10" s="0" t="str">
        <f aca="false">IFERROR(__xludf.dummyfunction("""COMPUTED_VALUE"""),"AICI201805-5-2| A2. Gestionar ante el FONCEP, la emisión de una certificación de los valores cancelados por concepto de Cesantías de cada funcionario desde que laboraban para las fusionadas ESEs que hoy conforman la Subred Norte E.S.E. - 9/30/2019")</f>
        <v>AICI201805-5-2| A2. Gestionar ante el FONCEP, la emisión de una certificación de los valores cancelados por concepto de Cesantías de cada funcionario desde que laboraban para las fusionadas ESEs que hoy conforman la Subred Norte E.S.E. - 9/30/2019</v>
      </c>
      <c r="E10" s="0" t="str">
        <f aca="false">IFERROR(__xludf.dummyfunction("""COMPUTED_VALUE"""),"Se envía oficio el 12 de marzo de 2019 al Fondo de Prestaciones Económicas  Cesantías y Pensiones –FONCEP, radicado No.20193300082201.  El 28 de marzo de 2019 el FONCEP  informa  que  da traslado del mencionado oficio a la SECRETARIA DISTRITAL DE SALUD qu"&amp;"e según lo informado obran actas de entrega de los expedientes de cesantías  de los  servidores del sector salud (hospitales retirados de FAVIDI), No se ha recibido respuesta a la fecha.")</f>
        <v>Se envía oficio el 12 de marzo de 2019 al Fondo de Prestaciones Económicas  Cesantías y Pensiones –FONCEP, radicado No.20193300082201.  El 28 de marzo de 2019 el FONCEP  informa  que  da traslado del mencionado oficio a la SECRETARIA DISTRITAL DE SALUD que según lo informado obran actas de entrega de los expedientes de cesantías  de los  servidores del sector salud (hospitales retirados de FAVIDI), No se ha recibido respuesta a la fecha.</v>
      </c>
      <c r="F10" s="0" t="str">
        <f aca="false">IFERROR(__xludf.dummyfunction("""COMPUTED_VALUE"""),"En desarrollo")</f>
        <v>En desarrollo</v>
      </c>
    </row>
    <row r="11" customFormat="false" ht="14.25" hidden="false" customHeight="false" outlineLevel="0" collapsed="false">
      <c r="A11" s="18" t="str">
        <f aca="false">IFERROR(MID(D11,1,FIND("|",D11)-1)&amp;"-"&amp;C11,"")</f>
        <v>AICI201805-6-1-1</v>
      </c>
      <c r="B11" s="19" t="n">
        <f aca="false">IFERROR(__xludf.dummyfunction("""COMPUTED_VALUE"""),43591)</f>
        <v>43591</v>
      </c>
      <c r="C11" s="0" t="n">
        <f aca="false">IFERROR(__xludf.dummyfunction("""COMPUTED_VALUE"""),1)</f>
        <v>1</v>
      </c>
      <c r="D11" s="0" t="str">
        <f aca="false">IFERROR(__xludf.dummyfunction("""COMPUTED_VALUE"""),"AICI201805-6-1| A1. Gestionar ante el FONCEP, la emisión de una certificación de los valores cancelados por concepto de Cesantías de cada funcionario desde que laboraban para las fusionadas ESEs que hoy conforman la Subred Norte E.S.E. - 9/30/2019")</f>
        <v>AICI201805-6-1| A1. Gestionar ante el FONCEP, la emisión de una certificación de los valores cancelados por concepto de Cesantías de cada funcionario desde que laboraban para las fusionadas ESEs que hoy conforman la Subred Norte E.S.E. - 9/30/2019</v>
      </c>
      <c r="E11" s="0" t="str">
        <f aca="false">IFERROR(__xludf.dummyfunction("""COMPUTED_VALUE"""),"Se envía oficio el 12 de marzo de 2019 al Fondo de Prestaciones Económicas  Cesantías y Pensiones –FONCEP, radicado No.20193300082201.  El 28 de marzo de 2019 el FONCEP  informa  que  da traslado del mencionado oficio a la SECRETARIA DISTRITAL DE SALUD qu"&amp;"e según lo informado obran actas de entrega de los expedientes de cesantías  de los  servidores del sector salud (hospitales retirados de FAVIDI), No se ha recibido respuesta a la fecha.")</f>
        <v>Se envía oficio el 12 de marzo de 2019 al Fondo de Prestaciones Económicas  Cesantías y Pensiones –FONCEP, radicado No.20193300082201.  El 28 de marzo de 2019 el FONCEP  informa  que  da traslado del mencionado oficio a la SECRETARIA DISTRITAL DE SALUD que según lo informado obran actas de entrega de los expedientes de cesantías  de los  servidores del sector salud (hospitales retirados de FAVIDI), No se ha recibido respuesta a la fecha.</v>
      </c>
      <c r="F11" s="0" t="str">
        <f aca="false">IFERROR(__xludf.dummyfunction("""COMPUTED_VALUE"""),"En desarrollo")</f>
        <v>En desarrollo</v>
      </c>
    </row>
    <row r="12" customFormat="false" ht="14.25" hidden="false" customHeight="false" outlineLevel="0" collapsed="false">
      <c r="A12" s="18" t="str">
        <f aca="false">IFERROR(MID(D12,1,FIND("|",D12)-1)&amp;"-"&amp;C12,"")</f>
        <v>AICI201805-7-1-1</v>
      </c>
      <c r="B12" s="19" t="n">
        <f aca="false">IFERROR(__xludf.dummyfunction("""COMPUTED_VALUE"""),43591)</f>
        <v>43591</v>
      </c>
      <c r="C12" s="0" t="n">
        <f aca="false">IFERROR(__xludf.dummyfunction("""COMPUTED_VALUE"""),1)</f>
        <v>1</v>
      </c>
      <c r="D12" s="0" t="str">
        <f aca="false">IFERROR(__xludf.dummyfunction("""COMPUTED_VALUE"""),"AICI201805-7-1| Elaborar un instructivo para la conciliacion mensual de saldos con los Fondos de cesantias del convenio de retroactividad. - 9/30/2019")</f>
        <v>AICI201805-7-1| Elaborar un instructivo para la conciliacion mensual de saldos con los Fondos de cesantias del convenio de retroactividad. - 9/30/2019</v>
      </c>
      <c r="E12" s="0" t="str">
        <f aca="false">IFERROR(__xludf.dummyfunction("""COMPUTED_VALUE"""),"Se anexa proyecto de Instructivo de conciliación de cesantías con el Fondo, se encuentra en proceso de revision, para ser remitido a calidad par su Normalizacion.")</f>
        <v>Se anexa proyecto de Instructivo de conciliación de cesantías con el Fondo, se encuentra en proceso de revision, para ser remitido a calidad par su Normalizacion.</v>
      </c>
      <c r="F12" s="0" t="str">
        <f aca="false">IFERROR(__xludf.dummyfunction("""COMPUTED_VALUE"""),"En desarrollo")</f>
        <v>En desarrollo</v>
      </c>
    </row>
    <row r="13" customFormat="false" ht="14.25" hidden="false" customHeight="false" outlineLevel="0" collapsed="false">
      <c r="A13" s="18" t="str">
        <f aca="false">IFERROR(MID(D13,1,FIND("|",D13)-1)&amp;"-"&amp;C13,"")</f>
        <v>AICI201805-10-1-1</v>
      </c>
      <c r="B13" s="19" t="n">
        <f aca="false">IFERROR(__xludf.dummyfunction("""COMPUTED_VALUE"""),43591)</f>
        <v>43591</v>
      </c>
      <c r="C13" s="0" t="n">
        <f aca="false">IFERROR(__xludf.dummyfunction("""COMPUTED_VALUE"""),1)</f>
        <v>1</v>
      </c>
      <c r="D13" s="0" t="str">
        <f aca="false">IFERROR(__xludf.dummyfunction("""COMPUTED_VALUE"""),"AICI201805-10-1| A1: Remitir a Cartera los soportes correspondientes de los saneamientos a los recursos del Sistema General de Participaciones que permitan iniciar la gestión de recuperación o cobro. - 9/30/2019")</f>
        <v>AICI201805-10-1| A1: Remitir a Cartera los soportes correspondientes de los saneamientos a los recursos del Sistema General de Participaciones que permitan iniciar la gestión de recuperación o cobro. - 9/30/2019</v>
      </c>
      <c r="E13" s="0" t="str">
        <f aca="false">IFERROR(__xludf.dummyfunction("""COMPUTED_VALUE"""),"El valor de $11.692.481.508 identificado  como total disponible, corresponde a valores saneados y soportados mediante actas firmadas con los diferentes Fondos de Pensiones, Fondos de Cesantías, Entidades Promotoras de Salud y Aseguradoras de Riesgos Labor"&amp;"ales, cabe anotar que este valor No es susceptible de cobro en su totalidad, por otro lado este valor corresponde al corte de 31 de Diciembre de 2017.
De los de $11.692.481.508  se puede realizar gestión de cobro únicamente del valor que resulto de las co"&amp;"nciliaciones de las vigencias 2012-2016 de EPS, ARL  y AFP, el valor registrado en Cesantías es de la conciliación  con corte a 31 de Diciembre de 2016,  este valor se toma como saldo inicial para la vigencia siguiente por lo tanto no es posible el cobro."&amp;"
Se anexa informes y cuadro de valores en formato Excel")</f>
        <v>El valor de $11.692.481.508 identificado  como total disponible, corresponde a valores saneados y soportados mediante actas firmadas con los diferentes Fondos de Pensiones, Fondos de Cesantías, Entidades Promotoras de Salud y Aseguradoras de Riesgos Laborales, cabe anotar que este valor No es susceptible de cobro en su totalidad, por otro lado este valor corresponde al corte de 31 de Diciembre de 2017.
De los de $11.692.481.508  se puede realizar gestión de cobro únicamente del valor que resulto de las conciliaciones de las vigencias 2012-2016 de EPS, ARL  y AFP, el valor registrado en Cesantías es de la conciliación  con corte a 31 de Diciembre de 2016,  este valor se toma como saldo inicial para la vigencia siguiente por lo tanto no es posible el cobro.
Se anexa informes y cuadro de valores en formato Excel</v>
      </c>
      <c r="F13" s="0" t="str">
        <f aca="false">IFERROR(__xludf.dummyfunction("""COMPUTED_VALUE"""),"Completo")</f>
        <v>Completo</v>
      </c>
    </row>
    <row r="14" customFormat="false" ht="14.25" hidden="false" customHeight="false" outlineLevel="0" collapsed="false">
      <c r="A14" s="18" t="str">
        <f aca="false">IFERROR(MID(D14,1,FIND("|",D14)-1)&amp;"-"&amp;C14,"")</f>
        <v>AICI201805-10-2-1</v>
      </c>
      <c r="B14" s="19" t="n">
        <f aca="false">IFERROR(__xludf.dummyfunction("""COMPUTED_VALUE"""),43591)</f>
        <v>43591</v>
      </c>
      <c r="C14" s="0" t="n">
        <f aca="false">IFERROR(__xludf.dummyfunction("""COMPUTED_VALUE"""),1)</f>
        <v>1</v>
      </c>
      <c r="D14" s="0" t="str">
        <f aca="false">IFERROR(__xludf.dummyfunction("""COMPUTED_VALUE"""),"AICI201805-10-2| A2: Hacer seguimiento a la gestión de cobro que desarrolla Cartera de los recursos del Sistema General de Participaciones. - 9/30/2019")</f>
        <v>AICI201805-10-2| A2: Hacer seguimiento a la gestión de cobro que desarrolla Cartera de los recursos del Sistema General de Participaciones. - 9/30/2019</v>
      </c>
      <c r="E14" s="0" t="str">
        <f aca="false">IFERROR(__xludf.dummyfunction("""COMPUTED_VALUE"""),"El valor de $11.692.481.508 identificado  como total disponible, corresponde a valores saneados y soportados mediante actas firmadas con los diferentes Fondos de Pensiones, Fondos de Cesantías, Entidades Promotoras de Salud y Aseguradoras de Riesgos Labor"&amp;"ales, cabe anotar que este valor No es susceptible de cobro en su totalidad, por otro lado este valor corresponde al corte de 31 de Diciembre de 2017.
De los de $11.692.481.508  se puede realizar gestión de cobro únicamente del valor que resulto de las co"&amp;"nciliaciones de las vigencias 2012-2016 de EPS, ARL  y AFP, el valor registrado en Cesantías es de la conciliación  con corte a 31 de Diciembre de 2016,  este valor se toma como saldo inicial para la vigencia siguiente por lo tanto no es posible el cobro."&amp;"
Se anexa informes y cuadro de valores en formato Excel")</f>
        <v>El valor de $11.692.481.508 identificado  como total disponible, corresponde a valores saneados y soportados mediante actas firmadas con los diferentes Fondos de Pensiones, Fondos de Cesantías, Entidades Promotoras de Salud y Aseguradoras de Riesgos Laborales, cabe anotar que este valor No es susceptible de cobro en su totalidad, por otro lado este valor corresponde al corte de 31 de Diciembre de 2017.
De los de $11.692.481.508  se puede realizar gestión de cobro únicamente del valor que resulto de las conciliaciones de las vigencias 2012-2016 de EPS, ARL  y AFP, el valor registrado en Cesantías es de la conciliación  con corte a 31 de Diciembre de 2016,  este valor se toma como saldo inicial para la vigencia siguiente por lo tanto no es posible el cobro.
Se anexa informes y cuadro de valores en formato Excel</v>
      </c>
      <c r="F14" s="0" t="str">
        <f aca="false">IFERROR(__xludf.dummyfunction("""COMPUTED_VALUE"""),"Completo")</f>
        <v>Completo</v>
      </c>
    </row>
    <row r="15" customFormat="false" ht="14.25" hidden="false" customHeight="false" outlineLevel="0" collapsed="false">
      <c r="A15" s="18" t="str">
        <f aca="false">IFERROR(MID(D15,1,FIND("|",D15)-1)&amp;"-"&amp;C15,"")</f>
        <v>AICI201805-10-3-1</v>
      </c>
      <c r="B15" s="19" t="n">
        <f aca="false">IFERROR(__xludf.dummyfunction("""COMPUTED_VALUE"""),43591)</f>
        <v>43591</v>
      </c>
      <c r="C15" s="0" t="n">
        <f aca="false">IFERROR(__xludf.dummyfunction("""COMPUTED_VALUE"""),1)</f>
        <v>1</v>
      </c>
      <c r="D15" s="0" t="str">
        <f aca="false">IFERROR(__xludf.dummyfunction("""COMPUTED_VALUE"""),"AICI201805-10-3| A3: Realizar conforme a lo gestionado por Cartera la actualización de información en la Matriz de saneamiento de Aportes Patronales. - 9/30/2019")</f>
        <v>AICI201805-10-3| A3: Realizar conforme a lo gestionado por Cartera la actualización de información en la Matriz de saneamiento de Aportes Patronales. - 9/30/2019</v>
      </c>
      <c r="E15" s="0" t="str">
        <f aca="false">IFERROR(__xludf.dummyfunction("""COMPUTED_VALUE"""),"El valor de $11.692.481.508 identificado  como total disponible, corresponde a valores saneados y soportados mediante actas firmadas con los diferentes Fondos de Pensiones, Fondos de Cesantías, Entidades Promotoras de Salud y Aseguradoras de Riesgos Labor"&amp;"ales, cabe anotar que este valor No es susceptible de cobro en su totalidad, por otro lado este valor corresponde al corte de 31 de Diciembre de 2017.
De los de $11.692.481.508  se puede realizar gestión de cobro únicamente del valor que resulto de las co"&amp;"nciliaciones de las vigencias 2012-2016 de EPS, ARL  y AFP, el valor registrado en Cesantías es de la conciliación  con corte a 31 de Diciembre de 2016,  este valor se toma como saldo inicial para la vigencia siguiente por lo tanto no es posible el cobro."&amp;"
Se anexa informes y cuadro de valores en formato Excel")</f>
        <v>El valor de $11.692.481.508 identificado  como total disponible, corresponde a valores saneados y soportados mediante actas firmadas con los diferentes Fondos de Pensiones, Fondos de Cesantías, Entidades Promotoras de Salud y Aseguradoras de Riesgos Laborales, cabe anotar que este valor No es susceptible de cobro en su totalidad, por otro lado este valor corresponde al corte de 31 de Diciembre de 2017.
De los de $11.692.481.508  se puede realizar gestión de cobro únicamente del valor que resulto de las conciliaciones de las vigencias 2012-2016 de EPS, ARL  y AFP, el valor registrado en Cesantías es de la conciliación  con corte a 31 de Diciembre de 2016,  este valor se toma como saldo inicial para la vigencia siguiente por lo tanto no es posible el cobro.
Se anexa informes y cuadro de valores en formato Excel</v>
      </c>
      <c r="F15" s="0" t="str">
        <f aca="false">IFERROR(__xludf.dummyfunction("""COMPUTED_VALUE"""),"Completo")</f>
        <v>Completo</v>
      </c>
    </row>
    <row r="16" customFormat="false" ht="14.25" hidden="false" customHeight="false" outlineLevel="0" collapsed="false">
      <c r="A16" s="18" t="str">
        <f aca="false">IFERROR(MID(D16,1,FIND("|",D16)-1)&amp;"-"&amp;C16,"")</f>
        <v>AICI201805-10-4-1</v>
      </c>
      <c r="B16" s="19" t="n">
        <f aca="false">IFERROR(__xludf.dummyfunction("""COMPUTED_VALUE"""),43591)</f>
        <v>43591</v>
      </c>
      <c r="C16" s="0" t="n">
        <f aca="false">IFERROR(__xludf.dummyfunction("""COMPUTED_VALUE"""),1)</f>
        <v>1</v>
      </c>
      <c r="D16" s="0" t="str">
        <f aca="false">IFERROR(__xludf.dummyfunction("""COMPUTED_VALUE"""),"AICI201805-10-4| A4: Desarollar la gestión de depuración de saldos de los recursos del Sistema General de Participaciones. - 9/30/2019")</f>
        <v>AICI201805-10-4| A4: Desarollar la gestión de depuración de saldos de los recursos del Sistema General de Participaciones. - 9/30/2019</v>
      </c>
      <c r="E16" s="0" t="str">
        <f aca="false">IFERROR(__xludf.dummyfunction("""COMPUTED_VALUE"""),"El valor de $11.692.481.508 identificado  como total disponible, corresponde a valores saneados y soportados mediante actas firmadas con los diferentes Fondos de Pensiones, Fondos de Cesantías, Entidades Promotoras de Salud y Aseguradoras de Riesgos Labor"&amp;"ales, cabe anotar que este valor No es susceptible de cobro en su totalidad, por otro lado este valor corresponde al corte de 31 de Diciembre de 2017.
De los de $11.692.481.508  se puede realizar gestión de cobro únicamente del valor que resulto de las co"&amp;"nciliaciones de las vigencias 2012-2016 de EPS, ARL  y AFP, el valor registrado en Cesantías es de la conciliación  con corte a 31 de Diciembre de 2016,  este valor se toma como saldo inicial para la vigencia siguiente por lo tanto no es posible el cobro."&amp;"
Se anexa informes y cuadro de valores en formato Excel")</f>
        <v>El valor de $11.692.481.508 identificado  como total disponible, corresponde a valores saneados y soportados mediante actas firmadas con los diferentes Fondos de Pensiones, Fondos de Cesantías, Entidades Promotoras de Salud y Aseguradoras de Riesgos Laborales, cabe anotar que este valor No es susceptible de cobro en su totalidad, por otro lado este valor corresponde al corte de 31 de Diciembre de 2017.
De los de $11.692.481.508  se puede realizar gestión de cobro únicamente del valor que resulto de las conciliaciones de las vigencias 2012-2016 de EPS, ARL  y AFP, el valor registrado en Cesantías es de la conciliación  con corte a 31 de Diciembre de 2016,  este valor se toma como saldo inicial para la vigencia siguiente por lo tanto no es posible el cobro.
Se anexa informes y cuadro de valores en formato Excel</v>
      </c>
      <c r="F16" s="0" t="str">
        <f aca="false">IFERROR(__xludf.dummyfunction("""COMPUTED_VALUE"""),"Completo")</f>
        <v>Completo</v>
      </c>
    </row>
    <row r="17" customFormat="false" ht="14.25" hidden="false" customHeight="false" outlineLevel="0" collapsed="false">
      <c r="A17" s="18" t="str">
        <f aca="false">IFERROR(MID(D17,1,FIND("|",D17)-1)&amp;"-"&amp;C17,"")</f>
        <v>AICI201805-14-1-1</v>
      </c>
      <c r="B17" s="19" t="n">
        <f aca="false">IFERROR(__xludf.dummyfunction("""COMPUTED_VALUE"""),43591)</f>
        <v>43591</v>
      </c>
      <c r="C17" s="0" t="n">
        <f aca="false">IFERROR(__xludf.dummyfunction("""COMPUTED_VALUE"""),1)</f>
        <v>1</v>
      </c>
      <c r="D17" s="0" t="str">
        <f aca="false">IFERROR(__xludf.dummyfunction("""COMPUTED_VALUE"""),"AICI201805-14-1| A1: Diseñar e implementar un instructivo para efectuar las reincorporaciones al servicio activo del personal, motivadas por la culminación de periodos de incapacidades superiores a 30 dias. - 4/30/2019")</f>
        <v>AICI201805-14-1| A1: Diseñar e implementar un instructivo para efectuar las reincorporaciones al servicio activo del personal, motivadas por la culminación de periodos de incapacidades superiores a 30 dias. - 4/30/2019</v>
      </c>
      <c r="E17" s="0" t="str">
        <f aca="false">IFERROR(__xludf.dummyfunction("""COMPUTED_VALUE"""),"Instructivo reincorporaciones de personal que regresa de incapacidad")</f>
        <v>Instructivo reincorporaciones de personal que regresa de incapacidad</v>
      </c>
      <c r="F17" s="0" t="str">
        <f aca="false">IFERROR(__xludf.dummyfunction("""COMPUTED_VALUE"""),"En desarrollo")</f>
        <v>En desarrollo</v>
      </c>
    </row>
    <row r="18" customFormat="false" ht="14.25" hidden="false" customHeight="false" outlineLevel="0" collapsed="false">
      <c r="A18" s="18" t="str">
        <f aca="false">IFERROR(MID(D18,1,FIND("|",D18)-1)&amp;"-"&amp;C18,"")</f>
        <v>AICI201805-14-2-1</v>
      </c>
      <c r="B18" s="19" t="n">
        <f aca="false">IFERROR(__xludf.dummyfunction("""COMPUTED_VALUE"""),43591)</f>
        <v>43591</v>
      </c>
      <c r="C18" s="0" t="n">
        <f aca="false">IFERROR(__xludf.dummyfunction("""COMPUTED_VALUE"""),1)</f>
        <v>1</v>
      </c>
      <c r="D18" s="0" t="str">
        <f aca="false">IFERROR(__xludf.dummyfunction("""COMPUTED_VALUE"""),"AICI201805-14-2| A2. Realizar el archivo oportuno de los soportes en las historias laborales. - 12/31/2019")</f>
        <v>AICI201805-14-2| A2. Realizar el archivo oportuno de los soportes en las historias laborales. - 12/31/2019</v>
      </c>
      <c r="E18" s="0" t="str">
        <f aca="false">IFERROR(__xludf.dummyfunction("""COMPUTED_VALUE"""),"Remitir los soportes de incapacidades y recomendaciones medicolaborales que no requieran de manejo de confidencialidad a las historias laborales mediante relacion en oficio")</f>
        <v>Remitir los soportes de incapacidades y recomendaciones medicolaborales que no requieran de manejo de confidencialidad a las historias laborales mediante relacion en oficio</v>
      </c>
      <c r="F18" s="0" t="str">
        <f aca="false">IFERROR(__xludf.dummyfunction("""COMPUTED_VALUE"""),"En desarrollo")</f>
        <v>En desarrollo</v>
      </c>
    </row>
    <row r="19" customFormat="false" ht="14.25" hidden="false" customHeight="false" outlineLevel="0" collapsed="false">
      <c r="A19" s="18" t="str">
        <f aca="false">IFERROR(MID(D19,1,FIND("|",D19)-1)&amp;"-"&amp;C19,"")</f>
        <v>AICI201805-15-1-1</v>
      </c>
      <c r="B19" s="19" t="n">
        <f aca="false">IFERROR(__xludf.dummyfunction("""COMPUTED_VALUE"""),43591)</f>
        <v>43591</v>
      </c>
      <c r="C19" s="0" t="n">
        <f aca="false">IFERROR(__xludf.dummyfunction("""COMPUTED_VALUE"""),1)</f>
        <v>1</v>
      </c>
      <c r="D19" s="0" t="str">
        <f aca="false">IFERROR(__xludf.dummyfunction("""COMPUTED_VALUE"""),"AICI201805-15-1| Ajustar la Politica de Seguridad y Salud en el Trabajo que comtemple los elementos de justificación, alcance, identificación de riesgos, campo de aplicación y cumpla con los requerido en el Decreto 1072 - 2015 frente a la fecha y firma de"&amp;"l Represenatnte legal. - 5/30/2019")</f>
        <v>AICI201805-15-1| Ajustar la Politica de Seguridad y Salud en el Trabajo que comtemple los elementos de justificación, alcance, identificación de riesgos, campo de aplicación y cumpla con los requerido en el Decreto 1072 - 2015 frente a la fecha y firma del Represenatnte legal. - 5/30/2019</v>
      </c>
      <c r="E19" s="0" t="str">
        <f aca="false">IFERROR(__xludf.dummyfunction("""COMPUTED_VALUE"""),"El dia 04 de abril de 2019, se realizo reunion entre la Direccion de Gestion del Talento Humano y la Oficina de Calidad, con el fin de establecer los lneamientos para la actualizacion de la politica de auerdo  lo exigido por la normatividad vigente.")</f>
        <v>El dia 04 de abril de 2019, se realizo reunion entre la Direccion de Gestion del Talento Humano y la Oficina de Calidad, con el fin de establecer los lneamientos para la actualizacion de la politica de auerdo  lo exigido por la normatividad vigente.</v>
      </c>
      <c r="F19" s="0" t="str">
        <f aca="false">IFERROR(__xludf.dummyfunction("""COMPUTED_VALUE"""),"En desarrollo")</f>
        <v>En desarrollo</v>
      </c>
    </row>
    <row r="20" customFormat="false" ht="14.25" hidden="false" customHeight="false" outlineLevel="0" collapsed="false">
      <c r="A20" s="18" t="str">
        <f aca="false">IFERROR(MID(D20,1,FIND("|",D20)-1)&amp;"-"&amp;C20,"")</f>
        <v>AICI201805-16-1-1</v>
      </c>
      <c r="B20" s="19" t="n">
        <f aca="false">IFERROR(__xludf.dummyfunction("""COMPUTED_VALUE"""),43591)</f>
        <v>43591</v>
      </c>
      <c r="C20" s="0" t="n">
        <f aca="false">IFERROR(__xludf.dummyfunction("""COMPUTED_VALUE"""),1)</f>
        <v>1</v>
      </c>
      <c r="D20" s="0" t="str">
        <f aca="false">IFERROR(__xludf.dummyfunction("""COMPUTED_VALUE"""),"AICI201805-16-1| Divulgar el documento ajustado de la Política de Seguridad y Salud en el Trabajo de la entidad, debidamente firmado por el Representante Legal. - 5/30/2019")</f>
        <v>AICI201805-16-1| Divulgar el documento ajustado de la Política de Seguridad y Salud en el Trabajo de la entidad, debidamente firmado por el Representante Legal. - 5/30/2019</v>
      </c>
      <c r="E20" s="0" t="str">
        <f aca="false">IFERROR(__xludf.dummyfunction("""COMPUTED_VALUE"""),"Se realizara para el segundo semestre de la presente vigencia teniendo en cuenta el cambio de ARL. Ya que se debeb definir los aspectos a trabajar según la resvion del estdo del desempeño del sistema con la herramienta diseñada por el DASCD. La nueva ARL "&amp;"comienza cobertura a partir del 01 de junio de 2019. ")</f>
        <v>Se realizara para el segundo semestre de la presente vigencia teniendo en cuenta el cambio de ARL. Ya que se debeb definir los aspectos a trabajar según la resvion del estdo del desempeño del sistema con la herramienta diseñada por el DASCD. La nueva ARL comienza cobertura a partir del 01 de junio de 2019. </v>
      </c>
      <c r="F20" s="0" t="str">
        <f aca="false">IFERROR(__xludf.dummyfunction("""COMPUTED_VALUE"""),"En desarrollo")</f>
        <v>En desarrollo</v>
      </c>
    </row>
    <row r="21" customFormat="false" ht="14.25" hidden="false" customHeight="false" outlineLevel="0" collapsed="false">
      <c r="A21" s="18" t="str">
        <f aca="false">IFERROR(MID(D21,1,FIND("|",D21)-1)&amp;"-"&amp;C21,"")</f>
        <v>AICI201805-17-1-1</v>
      </c>
      <c r="B21" s="19" t="n">
        <f aca="false">IFERROR(__xludf.dummyfunction("""COMPUTED_VALUE"""),43591)</f>
        <v>43591</v>
      </c>
      <c r="C21" s="0" t="n">
        <f aca="false">IFERROR(__xludf.dummyfunction("""COMPUTED_VALUE"""),1)</f>
        <v>1</v>
      </c>
      <c r="D21" s="0" t="str">
        <f aca="false">IFERROR(__xludf.dummyfunction("""COMPUTED_VALUE"""),"AICI201805-17-1| Elaborar el documento Plan de Acción para la vigencia 2019 conforme a los lineamientos fijados en el Decreto No.1072-2015 Artículo 2.2.4.6.17. - 3/31/2019")</f>
        <v>AICI201805-17-1| Elaborar el documento Plan de Acción para la vigencia 2019 conforme a los lineamientos fijados en el Decreto No.1072-2015 Artículo 2.2.4.6.17. - 3/31/2019</v>
      </c>
      <c r="E21" s="0" t="str">
        <f aca="false">IFERROR(__xludf.dummyfunction("""COMPUTED_VALUE"""),"Se cuenta con el Documento publicado en la web institucional vigencia 2019.
Para verificar el documento ingresar al link http://www.subrednorte.gov.co/sites/default/files/planeacion/Plan_de_seguridad_y_salud_en_el_trabajo.pdf")</f>
        <v>Se cuenta con el Documento publicado en la web institucional vigencia 2019.
Para verificar el documento ingresar al link http://www.subrednorte.gov.co/sites/default/files/planeacion/Plan_de_seguridad_y_salud_en_el_trabajo.pdf</v>
      </c>
      <c r="F21" s="0" t="str">
        <f aca="false">IFERROR(__xludf.dummyfunction("""COMPUTED_VALUE"""),"Completo")</f>
        <v>Completo</v>
      </c>
    </row>
    <row r="22" customFormat="false" ht="14.25" hidden="false" customHeight="false" outlineLevel="0" collapsed="false">
      <c r="A22" s="18" t="str">
        <f aca="false">IFERROR(MID(D22,1,FIND("|",D22)-1)&amp;"-"&amp;C22,"")</f>
        <v>AICI201805-19-1-1</v>
      </c>
      <c r="B22" s="19" t="n">
        <f aca="false">IFERROR(__xludf.dummyfunction("""COMPUTED_VALUE"""),43591)</f>
        <v>43591</v>
      </c>
      <c r="C22" s="0" t="n">
        <f aca="false">IFERROR(__xludf.dummyfunction("""COMPUTED_VALUE"""),1)</f>
        <v>1</v>
      </c>
      <c r="D22" s="0" t="str">
        <f aca="false">IFERROR(__xludf.dummyfunction("""COMPUTED_VALUE"""),"AICI201805-19-1| Establecer en el acto administrativo de conformación del COPASST para la vigencia 2019-2021, el articulado que definira la participacion del lider o profesional a cargo del SGSST de la entidad. - 03/30/0219")</f>
        <v>AICI201805-19-1| Establecer en el acto administrativo de conformación del COPASST para la vigencia 2019-2021, el articulado que definira la participacion del lider o profesional a cargo del SGSST de la entidad. - 03/30/0219</v>
      </c>
      <c r="E22" s="0" t="str">
        <f aca="false">IFERROR(__xludf.dummyfunction("""COMPUTED_VALUE"""),"Se esta adelantando el proceso de eleccion según resolucion 126 de 2019, y de acuerdo a estos resultados se incluira en la resolucion de conformacion la participacion del Lider del SGSST")</f>
        <v>Se esta adelantando el proceso de eleccion según resolucion 126 de 2019, y de acuerdo a estos resultados se incluira en la resolucion de conformacion la participacion del Lider del SGSST</v>
      </c>
      <c r="F22" s="0" t="str">
        <f aca="false">IFERROR(__xludf.dummyfunction("""COMPUTED_VALUE"""),"En desarrollo")</f>
        <v>En desarrollo</v>
      </c>
    </row>
    <row r="23" customFormat="false" ht="14.25" hidden="false" customHeight="false" outlineLevel="0" collapsed="false">
      <c r="A23" s="18" t="str">
        <f aca="false">IFERROR(MID(D23,1,FIND("|",D23)-1)&amp;"-"&amp;C23,"")</f>
        <v>AICI201805-23-1-1</v>
      </c>
      <c r="B23" s="19" t="n">
        <f aca="false">IFERROR(__xludf.dummyfunction("""COMPUTED_VALUE"""),43591)</f>
        <v>43591</v>
      </c>
      <c r="C23" s="0" t="n">
        <f aca="false">IFERROR(__xludf.dummyfunction("""COMPUTED_VALUE"""),1)</f>
        <v>1</v>
      </c>
      <c r="D23" s="0" t="str">
        <f aca="false">IFERROR(__xludf.dummyfunction("""COMPUTED_VALUE"""),"AICI201805-23-1| A1: Definir los requisitos técnicos requeridos por la entidad para la prestación del servicio o adquisición de bien según corresponda, que permitan la construcción de los términos de referencia o pliegos de condiciones. - 12/31/2019")</f>
        <v>AICI201805-23-1| A1: Definir los requisitos técnicos requeridos por la entidad para la prestación del servicio o adquisición de bien según corresponda, que permitan la construcción de los términos de referencia o pliegos de condiciones. - 12/31/2019</v>
      </c>
      <c r="E23" s="0" t="str">
        <f aca="false">IFERROR(__xludf.dummyfunction("""COMPUTED_VALUE"""),"Se realizo requerimiento para la eleccion de la ARL de acuerdo a lo establecido para este fin en la cual incluye los aspectos tecnicos, finacieros y judridicos.")</f>
        <v>Se realizo requerimiento para la eleccion de la ARL de acuerdo a lo establecido para este fin en la cual incluye los aspectos tecnicos, finacieros y judridicos.</v>
      </c>
      <c r="F23" s="0" t="str">
        <f aca="false">IFERROR(__xludf.dummyfunction("""COMPUTED_VALUE"""),"Completo")</f>
        <v>Completo</v>
      </c>
    </row>
    <row r="24" customFormat="false" ht="14.25" hidden="false" customHeight="false" outlineLevel="0" collapsed="false">
      <c r="A24" s="18" t="str">
        <f aca="false">IFERROR(MID(D24,1,FIND("|",D24)-1)&amp;"-"&amp;C24,"")</f>
        <v>AICI201805-23-2-1</v>
      </c>
      <c r="B24" s="19" t="n">
        <f aca="false">IFERROR(__xludf.dummyfunction("""COMPUTED_VALUE"""),43591)</f>
        <v>43591</v>
      </c>
      <c r="C24" s="0" t="n">
        <f aca="false">IFERROR(__xludf.dummyfunction("""COMPUTED_VALUE"""),1)</f>
        <v>1</v>
      </c>
      <c r="D24" s="0" t="str">
        <f aca="false">IFERROR(__xludf.dummyfunction("""COMPUTED_VALUE"""),"AICI201805-23-2| A2: Establecer los factores de evaluación y modalidad de calificación a emplear (puntajes y/o porcentajes) para el proceso de selección del proveedor contratista, para su inclusión en los términos de referenica o pliego de condiciones. - "&amp;"12/31/2019")</f>
        <v>AICI201805-23-2| A2: Establecer los factores de evaluación y modalidad de calificación a emplear (puntajes y/o porcentajes) para el proceso de selección del proveedor contratista, para su inclusión en los términos de referenica o pliego de condiciones. - 12/31/2019</v>
      </c>
      <c r="E24" s="0" t="str">
        <f aca="false">IFERROR(__xludf.dummyfunction("""COMPUTED_VALUE"""),"Se realizo requerimiento para la eleccion de la ARL de acuerdo a lo establecido para este fin en la cual incluye los aspectos tecnicos, finacieros y judridicos.")</f>
        <v>Se realizo requerimiento para la eleccion de la ARL de acuerdo a lo establecido para este fin en la cual incluye los aspectos tecnicos, finacieros y judridicos.</v>
      </c>
      <c r="F24" s="0" t="str">
        <f aca="false">IFERROR(__xludf.dummyfunction("""COMPUTED_VALUE"""),"Completo")</f>
        <v>Completo</v>
      </c>
    </row>
    <row r="25" customFormat="false" ht="14.25" hidden="false" customHeight="false" outlineLevel="0" collapsed="false">
      <c r="A25" s="18" t="str">
        <f aca="false">IFERROR(MID(D25,1,FIND("|",D25)-1)&amp;"-"&amp;C25,"")</f>
        <v>AICI201805-23-3-1</v>
      </c>
      <c r="B25" s="19" t="n">
        <f aca="false">IFERROR(__xludf.dummyfunction("""COMPUTED_VALUE"""),43591)</f>
        <v>43591</v>
      </c>
      <c r="C25" s="0" t="n">
        <f aca="false">IFERROR(__xludf.dummyfunction("""COMPUTED_VALUE"""),1)</f>
        <v>1</v>
      </c>
      <c r="D25" s="0" t="str">
        <f aca="false">IFERROR(__xludf.dummyfunction("""COMPUTED_VALUE"""),"AICI201805-23-3| A3: Evaluar las propuestas participantes en el proceso de selección conforme a lo señalado en los términos de referencia o pliego de condiciones establecidos. - 12/31/2019")</f>
        <v>AICI201805-23-3| A3: Evaluar las propuestas participantes en el proceso de selección conforme a lo señalado en los términos de referencia o pliego de condiciones establecidos. - 12/31/2019</v>
      </c>
      <c r="E25" s="0" t="str">
        <f aca="false">IFERROR(__xludf.dummyfunction("""COMPUTED_VALUE"""),"Se realizo evalaucion suegun invitacion y los aspectos alli contemplados para su calificacion")</f>
        <v>Se realizo evalaucion suegun invitacion y los aspectos alli contemplados para su calificacion</v>
      </c>
      <c r="F25" s="0" t="str">
        <f aca="false">IFERROR(__xludf.dummyfunction("""COMPUTED_VALUE"""),"Completo")</f>
        <v>Completo</v>
      </c>
    </row>
    <row r="26" customFormat="false" ht="14.25" hidden="false" customHeight="false" outlineLevel="0" collapsed="false">
      <c r="A26" s="18" t="str">
        <f aca="false">IFERROR(MID(D26,1,FIND("|",D26)-1)&amp;"-"&amp;C26,"")</f>
        <v>AICI201805-24-1-1</v>
      </c>
      <c r="B26" s="19" t="n">
        <f aca="false">IFERROR(__xludf.dummyfunction("""COMPUTED_VALUE"""),43591)</f>
        <v>43591</v>
      </c>
      <c r="C26" s="0" t="n">
        <f aca="false">IFERROR(__xludf.dummyfunction("""COMPUTED_VALUE"""),1)</f>
        <v>1</v>
      </c>
      <c r="D26" s="0" t="str">
        <f aca="false">IFERROR(__xludf.dummyfunction("""COMPUTED_VALUE"""),"AICI201805-24-1| A1: Gestionar el requerimiento de adquisición de las dotaciones del personal de manera oportuna para su radicación en la Dirección de Contratación de la entidad. - 12/31/2019")</f>
        <v>AICI201805-24-1| A1: Gestionar el requerimiento de adquisición de las dotaciones del personal de manera oportuna para su radicación en la Dirección de Contratación de la entidad. - 12/31/2019</v>
      </c>
      <c r="E26" s="0" t="str">
        <f aca="false">IFERROR(__xludf.dummyfunction("""COMPUTED_VALUE"""),"Se realizo requerimiento en el mes de abril, se encuentra en proceso de gestion ´por parte de contratacion.")</f>
        <v>Se realizo requerimiento en el mes de abril, se encuentra en proceso de gestion ´por parte de contratacion.</v>
      </c>
      <c r="F26" s="0" t="str">
        <f aca="false">IFERROR(__xludf.dummyfunction("""COMPUTED_VALUE"""),"Completo")</f>
        <v>Completo</v>
      </c>
    </row>
    <row r="27" customFormat="false" ht="14.25" hidden="false" customHeight="false" outlineLevel="0" collapsed="false">
      <c r="A27" s="18" t="str">
        <f aca="false">IFERROR(MID(D27,1,FIND("|",D27)-1)&amp;"-"&amp;C27,"")</f>
        <v>AICI201805-24-2-1</v>
      </c>
      <c r="B27" s="19" t="n">
        <f aca="false">IFERROR(__xludf.dummyfunction("""COMPUTED_VALUE"""),43591)</f>
        <v>43591</v>
      </c>
      <c r="C27" s="0" t="n">
        <f aca="false">IFERROR(__xludf.dummyfunction("""COMPUTED_VALUE"""),1)</f>
        <v>1</v>
      </c>
      <c r="D27" s="0" t="str">
        <f aca="false">IFERROR(__xludf.dummyfunction("""COMPUTED_VALUE"""),"AICI201805-24-2| A2: Desarrollar las funciones administrativas, técnicas, financieras y contables de supervisión asignadas que permitan la adecuada ejecución del contrato de bienes y servicios para la adquisición de las dotaciones del personal. - 12/31/20"&amp;"19")</f>
        <v>AICI201805-24-2| A2: Desarrollar las funciones administrativas, técnicas, financieras y contables de supervisión asignadas que permitan la adecuada ejecución del contrato de bienes y servicios para la adquisición de las dotaciones del personal. - 12/31/2019</v>
      </c>
      <c r="E27" s="0" t="str">
        <f aca="false">IFERROR(__xludf.dummyfunction("""COMPUTED_VALUE"""),"Se realizara las funciones supervisión en el momento que el area de Contratacion realice esta asignacion.")</f>
        <v>Se realizara las funciones supervisión en el momento que el area de Contratacion realice esta asignacion.</v>
      </c>
      <c r="F27" s="0" t="str">
        <f aca="false">IFERROR(__xludf.dummyfunction("""COMPUTED_VALUE"""),"No iniciado")</f>
        <v>No iniciado</v>
      </c>
    </row>
    <row r="28" customFormat="false" ht="14.25" hidden="false" customHeight="false" outlineLevel="0" collapsed="false">
      <c r="A28" s="18" t="str">
        <f aca="false">IFERROR(MID(D28,1,FIND("|",D28)-1)&amp;"-"&amp;C28,"")</f>
        <v>AICI201805-25-1-1</v>
      </c>
      <c r="B28" s="19" t="n">
        <f aca="false">IFERROR(__xludf.dummyfunction("""COMPUTED_VALUE"""),43591)</f>
        <v>43591</v>
      </c>
      <c r="C28" s="0" t="n">
        <f aca="false">IFERROR(__xludf.dummyfunction("""COMPUTED_VALUE"""),1)</f>
        <v>1</v>
      </c>
      <c r="D28" s="0" t="str">
        <f aca="false">IFERROR(__xludf.dummyfunction("""COMPUTED_VALUE"""),"AICI201805-25-1| A1: Gestionar el requerimiento de adquisición de las dotaciones del personal de manera oportuna para su radicación en la Dirección de Contratación de la entidad. - 12/31/2019")</f>
        <v>AICI201805-25-1| A1: Gestionar el requerimiento de adquisición de las dotaciones del personal de manera oportuna para su radicación en la Dirección de Contratación de la entidad. - 12/31/2019</v>
      </c>
      <c r="E28" s="0" t="str">
        <f aca="false">IFERROR(__xludf.dummyfunction("""COMPUTED_VALUE"""),"Se realizo requerimiento en el mes de abril, se encuentra en proceso de gestion ´por parte de contratacion.")</f>
        <v>Se realizo requerimiento en el mes de abril, se encuentra en proceso de gestion ´por parte de contratacion.</v>
      </c>
      <c r="F28" s="0" t="str">
        <f aca="false">IFERROR(__xludf.dummyfunction("""COMPUTED_VALUE"""),"Completo")</f>
        <v>Completo</v>
      </c>
    </row>
    <row r="29" customFormat="false" ht="14.25" hidden="false" customHeight="false" outlineLevel="0" collapsed="false">
      <c r="A29" s="18" t="str">
        <f aca="false">IFERROR(MID(D29,1,FIND("|",D29)-1)&amp;"-"&amp;C29,"")</f>
        <v>AICI201805-25-2-1</v>
      </c>
      <c r="B29" s="19" t="n">
        <f aca="false">IFERROR(__xludf.dummyfunction("""COMPUTED_VALUE"""),43591)</f>
        <v>43591</v>
      </c>
      <c r="C29" s="0" t="n">
        <f aca="false">IFERROR(__xludf.dummyfunction("""COMPUTED_VALUE"""),1)</f>
        <v>1</v>
      </c>
      <c r="D29" s="0" t="str">
        <f aca="false">IFERROR(__xludf.dummyfunction("""COMPUTED_VALUE"""),"AICI201805-25-2| A2: Desarrollar las funciones administrativas, técnicas, financieras y contables de supervisión asignadas que permitan la adecuada ejecución del contrato de bienes y servicios para la adquisición de las dotaciones del personal. - 12/31/20"&amp;"19")</f>
        <v>AICI201805-25-2| A2: Desarrollar las funciones administrativas, técnicas, financieras y contables de supervisión asignadas que permitan la adecuada ejecución del contrato de bienes y servicios para la adquisición de las dotaciones del personal. - 12/31/2019</v>
      </c>
      <c r="E29" s="0" t="str">
        <f aca="false">IFERROR(__xludf.dummyfunction("""COMPUTED_VALUE"""),"Se realizara las funciones supervisión en el momento que el area de Contratacion realice esta asignacion.")</f>
        <v>Se realizara las funciones supervisión en el momento que el area de Contratacion realice esta asignacion.</v>
      </c>
      <c r="F29" s="0" t="str">
        <f aca="false">IFERROR(__xludf.dummyfunction("""COMPUTED_VALUE"""),"No iniciado")</f>
        <v>No iniciado</v>
      </c>
    </row>
    <row r="30" customFormat="false" ht="14.25" hidden="false" customHeight="false" outlineLevel="0" collapsed="false">
      <c r="A30" s="18" t="str">
        <f aca="false">IFERROR(MID(D30,1,FIND("|",D30)-1)&amp;"-"&amp;C30,"")</f>
        <v>AICI201805-26-1-1</v>
      </c>
      <c r="B30" s="19" t="n">
        <f aca="false">IFERROR(__xludf.dummyfunction("""COMPUTED_VALUE"""),43591)</f>
        <v>43591</v>
      </c>
      <c r="C30" s="0" t="n">
        <f aca="false">IFERROR(__xludf.dummyfunction("""COMPUTED_VALUE"""),1)</f>
        <v>1</v>
      </c>
      <c r="D30" s="0" t="str">
        <f aca="false">IFERROR(__xludf.dummyfunction("""COMPUTED_VALUE"""),"AICI201805-26-1| A1: Exponer claramente las motivaciones que se presentan para generar un cambio de condiciones iniciales que conlleven a la suscripción de una modificación del plazo inicialmente pactado de un contrato. - 12/31/2019")</f>
        <v>AICI201805-26-1| A1: Exponer claramente las motivaciones que se presentan para generar un cambio de condiciones iniciales que conlleven a la suscripción de una modificación del plazo inicialmente pactado de un contrato. - 12/31/2019</v>
      </c>
      <c r="E30" s="0" t="str">
        <f aca="false">IFERROR(__xludf.dummyfunction("""COMPUTED_VALUE"""),"Cuando se requiera para realizar alguna adicion se tendra en cuenta dicha observacion")</f>
        <v>Cuando se requiera para realizar alguna adicion se tendra en cuenta dicha observacion</v>
      </c>
      <c r="F30" s="0" t="str">
        <f aca="false">IFERROR(__xludf.dummyfunction("""COMPUTED_VALUE"""),"No iniciado")</f>
        <v>No iniciado</v>
      </c>
    </row>
    <row r="31" customFormat="false" ht="14.25" hidden="false" customHeight="false" outlineLevel="0" collapsed="false">
      <c r="A31" s="18" t="str">
        <f aca="false">IFERROR(MID(D31,1,FIND("|",D31)-1)&amp;"-"&amp;C31,"")</f>
        <v>AICI201805-26-2-1</v>
      </c>
      <c r="B31" s="19" t="n">
        <f aca="false">IFERROR(__xludf.dummyfunction("""COMPUTED_VALUE"""),43591)</f>
        <v>43591</v>
      </c>
      <c r="C31" s="0" t="n">
        <f aca="false">IFERROR(__xludf.dummyfunction("""COMPUTED_VALUE"""),1)</f>
        <v>1</v>
      </c>
      <c r="D31" s="0" t="str">
        <f aca="false">IFERROR(__xludf.dummyfunction("""COMPUTED_VALUE"""),"AICI201805-26-2| A2: Diligenciar claramente el formato de solicitud de modificación del contrato y documentar si es necesario mediante anexos, la motivación de dicha modificación. - 12/31/2019")</f>
        <v>AICI201805-26-2| A2: Diligenciar claramente el formato de solicitud de modificación del contrato y documentar si es necesario mediante anexos, la motivación de dicha modificación. - 12/31/2019</v>
      </c>
      <c r="E31" s="0" t="str">
        <f aca="false">IFERROR(__xludf.dummyfunction("""COMPUTED_VALUE"""),"Cuando se requiera para realizar alguna adicion se tendra en cuenta dicha observacion")</f>
        <v>Cuando se requiera para realizar alguna adicion se tendra en cuenta dicha observacion</v>
      </c>
      <c r="F31" s="0" t="str">
        <f aca="false">IFERROR(__xludf.dummyfunction("""COMPUTED_VALUE"""),"No iniciado")</f>
        <v>No iniciado</v>
      </c>
    </row>
    <row r="32" customFormat="false" ht="14.25" hidden="false" customHeight="false" outlineLevel="0" collapsed="false">
      <c r="A32" s="18" t="str">
        <f aca="false">IFERROR(MID(D32,1,FIND("|",D32)-1)&amp;"-"&amp;C32,"")</f>
        <v>AICI201805-26-3-1</v>
      </c>
      <c r="B32" s="19" t="n">
        <f aca="false">IFERROR(__xludf.dummyfunction("""COMPUTED_VALUE"""),43591)</f>
        <v>43591</v>
      </c>
      <c r="C32" s="0" t="n">
        <f aca="false">IFERROR(__xludf.dummyfunction("""COMPUTED_VALUE"""),1)</f>
        <v>1</v>
      </c>
      <c r="D32" s="0" t="str">
        <f aca="false">IFERROR(__xludf.dummyfunction("""COMPUTED_VALUE"""),"AICI201805-26-3| A3: Remitir a la Dirección de Contratación junto con la solicitud de OTROSI de contrato los soportes suficientes que acrediten la necesidad y aporbación de la modificación. - 12/31/2019")</f>
        <v>AICI201805-26-3| A3: Remitir a la Dirección de Contratación junto con la solicitud de OTROSI de contrato los soportes suficientes que acrediten la necesidad y aporbación de la modificación. - 12/31/2019</v>
      </c>
      <c r="E32" s="0" t="str">
        <f aca="false">IFERROR(__xludf.dummyfunction("""COMPUTED_VALUE"""),"Cuando se requiera para realizar alguna adicion se tendra en cuenta dicha observacion")</f>
        <v>Cuando se requiera para realizar alguna adicion se tendra en cuenta dicha observacion</v>
      </c>
      <c r="F32" s="0" t="str">
        <f aca="false">IFERROR(__xludf.dummyfunction("""COMPUTED_VALUE"""),"No iniciado")</f>
        <v>No iniciado</v>
      </c>
    </row>
    <row r="33" customFormat="false" ht="14.25" hidden="false" customHeight="false" outlineLevel="0" collapsed="false">
      <c r="A33" s="18" t="str">
        <f aca="false">IFERROR(MID(D33,1,FIND("|",D33)-1)&amp;"-"&amp;C33,"")</f>
        <v>AICI201805-27-1-1</v>
      </c>
      <c r="B33" s="19" t="n">
        <f aca="false">IFERROR(__xludf.dummyfunction("""COMPUTED_VALUE"""),43591)</f>
        <v>43591</v>
      </c>
      <c r="C33" s="0" t="n">
        <f aca="false">IFERROR(__xludf.dummyfunction("""COMPUTED_VALUE"""),1)</f>
        <v>1</v>
      </c>
      <c r="D33" s="0" t="str">
        <f aca="false">IFERROR(__xludf.dummyfunction("""COMPUTED_VALUE"""),"AICI201805-27-1| A1: Exponer claramente las motivaciones que se presentan para generar un cambio de condiciones iniciales que conlleven a la suscripción de una modificación del plazo inicialmente pactado de un contrato. - 12/31/2019")</f>
        <v>AICI201805-27-1| A1: Exponer claramente las motivaciones que se presentan para generar un cambio de condiciones iniciales que conlleven a la suscripción de una modificación del plazo inicialmente pactado de un contrato. - 12/31/2019</v>
      </c>
      <c r="E33" s="0" t="str">
        <f aca="false">IFERROR(__xludf.dummyfunction("""COMPUTED_VALUE"""),"Cuando se requiera para realizar alguna adicion se tendra en cuenta dicha observacion")</f>
        <v>Cuando se requiera para realizar alguna adicion se tendra en cuenta dicha observacion</v>
      </c>
      <c r="F33" s="0" t="str">
        <f aca="false">IFERROR(__xludf.dummyfunction("""COMPUTED_VALUE"""),"No iniciado")</f>
        <v>No iniciado</v>
      </c>
    </row>
    <row r="34" customFormat="false" ht="14.25" hidden="false" customHeight="false" outlineLevel="0" collapsed="false">
      <c r="A34" s="18" t="str">
        <f aca="false">IFERROR(MID(D34,1,FIND("|",D34)-1)&amp;"-"&amp;C34,"")</f>
        <v>AICI201805-27-2-1</v>
      </c>
      <c r="B34" s="19" t="n">
        <f aca="false">IFERROR(__xludf.dummyfunction("""COMPUTED_VALUE"""),43591)</f>
        <v>43591</v>
      </c>
      <c r="C34" s="0" t="n">
        <f aca="false">IFERROR(__xludf.dummyfunction("""COMPUTED_VALUE"""),1)</f>
        <v>1</v>
      </c>
      <c r="D34" s="0" t="str">
        <f aca="false">IFERROR(__xludf.dummyfunction("""COMPUTED_VALUE"""),"AICI201805-27-2| A2: Diligenciar claramente el formato de solicitud de modificación del contrato y documentar si es necesario mediante anexos, la motivación de dicha modificación. - 12/31/2019")</f>
        <v>AICI201805-27-2| A2: Diligenciar claramente el formato de solicitud de modificación del contrato y documentar si es necesario mediante anexos, la motivación de dicha modificación. - 12/31/2019</v>
      </c>
      <c r="E34" s="0" t="str">
        <f aca="false">IFERROR(__xludf.dummyfunction("""COMPUTED_VALUE"""),"Cuando se requiera para realizar alguna adicion se tendra en cuenta dicha observacion")</f>
        <v>Cuando se requiera para realizar alguna adicion se tendra en cuenta dicha observacion</v>
      </c>
      <c r="F34" s="0" t="str">
        <f aca="false">IFERROR(__xludf.dummyfunction("""COMPUTED_VALUE"""),"No iniciado")</f>
        <v>No iniciado</v>
      </c>
    </row>
    <row r="35" customFormat="false" ht="14.25" hidden="false" customHeight="false" outlineLevel="0" collapsed="false">
      <c r="A35" s="18" t="str">
        <f aca="false">IFERROR(MID(D35,1,FIND("|",D35)-1)&amp;"-"&amp;C35,"")</f>
        <v>AICI201805-27-3-1</v>
      </c>
      <c r="B35" s="19" t="n">
        <f aca="false">IFERROR(__xludf.dummyfunction("""COMPUTED_VALUE"""),43591)</f>
        <v>43591</v>
      </c>
      <c r="C35" s="0" t="n">
        <f aca="false">IFERROR(__xludf.dummyfunction("""COMPUTED_VALUE"""),1)</f>
        <v>1</v>
      </c>
      <c r="D35" s="0" t="str">
        <f aca="false">IFERROR(__xludf.dummyfunction("""COMPUTED_VALUE"""),"AICI201805-27-3| A3: Remitir a la Dirección de Contratación junto con la solicitud de OTROSI de contrato los soportes suficientes que acrediten la necesidad y aprobación de la modificación. - 12/31/2019")</f>
        <v>AICI201805-27-3| A3: Remitir a la Dirección de Contratación junto con la solicitud de OTROSI de contrato los soportes suficientes que acrediten la necesidad y aprobación de la modificación. - 12/31/2019</v>
      </c>
      <c r="E35" s="0" t="str">
        <f aca="false">IFERROR(__xludf.dummyfunction("""COMPUTED_VALUE"""),"Cuando se requiera para realizar alguna adicion se tendra en cuenta dicha observacion")</f>
        <v>Cuando se requiera para realizar alguna adicion se tendra en cuenta dicha observacion</v>
      </c>
      <c r="F35" s="0" t="str">
        <f aca="false">IFERROR(__xludf.dummyfunction("""COMPUTED_VALUE"""),"No iniciado")</f>
        <v>No iniciado</v>
      </c>
    </row>
    <row r="36" customFormat="false" ht="14.25" hidden="false" customHeight="false" outlineLevel="0" collapsed="false">
      <c r="A36" s="18" t="str">
        <f aca="false">IFERROR(MID(D36,1,FIND("|",D36)-1)&amp;"-"&amp;C36,"")</f>
        <v>AICI201805-28-1-1</v>
      </c>
      <c r="B36" s="19" t="n">
        <f aca="false">IFERROR(__xludf.dummyfunction("""COMPUTED_VALUE"""),43591)</f>
        <v>43591</v>
      </c>
      <c r="C36" s="0" t="n">
        <f aca="false">IFERROR(__xludf.dummyfunction("""COMPUTED_VALUE"""),1)</f>
        <v>1</v>
      </c>
      <c r="D36" s="0" t="str">
        <f aca="false">IFERROR(__xludf.dummyfunction("""COMPUTED_VALUE"""),"AICI201805-28-1| A1: Diligenciar claramente el formato de solicitud de modificación del contrato y documentar si es necesario mediante anexos, la descripción de dicha modificación para la elaboración de la minuta correspondiente. - 12/31/2019")</f>
        <v>AICI201805-28-1| A1: Diligenciar claramente el formato de solicitud de modificación del contrato y documentar si es necesario mediante anexos, la descripción de dicha modificación para la elaboración de la minuta correspondiente. - 12/31/2019</v>
      </c>
      <c r="E36" s="0" t="str">
        <f aca="false">IFERROR(__xludf.dummyfunction("""COMPUTED_VALUE"""),"Cuando se requiera para realizar alguna adicion se tendra en cuenta dicha observacion")</f>
        <v>Cuando se requiera para realizar alguna adicion se tendra en cuenta dicha observacion</v>
      </c>
      <c r="F36" s="0" t="str">
        <f aca="false">IFERROR(__xludf.dummyfunction("""COMPUTED_VALUE"""),"No iniciado")</f>
        <v>No iniciado</v>
      </c>
    </row>
    <row r="37" customFormat="false" ht="14.25" hidden="false" customHeight="false" outlineLevel="0" collapsed="false">
      <c r="A37" s="18" t="str">
        <f aca="false">IFERROR(MID(D37,1,FIND("|",D37)-1)&amp;"-"&amp;C37,"")</f>
        <v>AICI201805-29-1-1</v>
      </c>
      <c r="B37" s="19" t="n">
        <f aca="false">IFERROR(__xludf.dummyfunction("""COMPUTED_VALUE"""),43591)</f>
        <v>43591</v>
      </c>
      <c r="C37" s="0" t="n">
        <f aca="false">IFERROR(__xludf.dummyfunction("""COMPUTED_VALUE"""),1)</f>
        <v>1</v>
      </c>
      <c r="D37" s="0" t="str">
        <f aca="false">IFERROR(__xludf.dummyfunction("""COMPUTED_VALUE"""),"AICI201805-29-1| Elaborar una circular interna que establezca los mecanismos de control del uso de la dotación de acuerdo a cada perfiel ocupacional de los funcionarios que reciben el beneficio. - 6/30/2019")</f>
        <v>AICI201805-29-1| Elaborar una circular interna que establezca los mecanismos de control del uso de la dotación de acuerdo a cada perfiel ocupacional de los funcionarios que reciben el beneficio. - 6/30/2019</v>
      </c>
      <c r="E37" s="0" t="str">
        <f aca="false">IFERROR(__xludf.dummyfunction("""COMPUTED_VALUE"""),"Se realizo la circular interna dirigida a los Directores y Jefes de Oficina, la cual se encuentra n ervision por parte de la Oficina Asesora Juridica, para la firma de Gerencia.")</f>
        <v>Se realizo la circular interna dirigida a los Directores y Jefes de Oficina, la cual se encuentra n ervision por parte de la Oficina Asesora Juridica, para la firma de Gerencia.</v>
      </c>
      <c r="F37" s="0" t="str">
        <f aca="false">IFERROR(__xludf.dummyfunction("""COMPUTED_VALUE"""),"En desarrollo")</f>
        <v>En desarrollo</v>
      </c>
    </row>
    <row r="38" customFormat="false" ht="14.25" hidden="false" customHeight="false" outlineLevel="0" collapsed="false">
      <c r="A38" s="18" t="str">
        <f aca="false">IFERROR(MID(D38,1,FIND("|",D38)-1)&amp;"-"&amp;C38,"")</f>
        <v>AICI201805-1-1-2</v>
      </c>
      <c r="B38" s="19" t="n">
        <f aca="false">IFERROR(__xludf.dummyfunction("""COMPUTED_VALUE"""),43703)</f>
        <v>43703</v>
      </c>
      <c r="C38" s="0" t="n">
        <f aca="false">IFERROR(__xludf.dummyfunction("""COMPUTED_VALUE"""),2)</f>
        <v>2</v>
      </c>
      <c r="D38" s="0" t="str">
        <f aca="false">IFERROR(__xludf.dummyfunction("""COMPUTED_VALUE"""),"AICI201805-1-1| Elaborar los instructivos de Liquidación y pago de nómina y Autoliquidación de planilla única de seguridad social y parafiscales y realizar la normalizacion del mismo. - 3/31/2019")</f>
        <v>AICI201805-1-1| Elaborar los instructivos de Liquidación y pago de nómina y Autoliquidación de planilla única de seguridad social y parafiscales y realizar la normalizacion del mismo. - 3/31/2019</v>
      </c>
      <c r="E38" s="0" t="str">
        <f aca="false">IFERROR(__xludf.dummyfunction("""COMPUTED_VALUE"""),"Se elaboró el ""INSTRUCTIVO AUDITORÍA DE NÓMINA DE PLANTA DE PERSONAL"", con código CÓDIGO: AP-TH-I-20-01, con fecha 30/11/2018")</f>
        <v>Se elaboró el "INSTRUCTIVO AUDITORÍA DE NÓMINA DE PLANTA DE PERSONAL", con código CÓDIGO: AP-TH-I-20-01, con fecha 30/11/2018</v>
      </c>
      <c r="F38" s="0" t="str">
        <f aca="false">IFERROR(__xludf.dummyfunction("""COMPUTED_VALUE"""),"Completo")</f>
        <v>Completo</v>
      </c>
    </row>
    <row r="39" customFormat="false" ht="14.25" hidden="false" customHeight="false" outlineLevel="0" collapsed="false">
      <c r="A39" s="18" t="str">
        <f aca="false">IFERROR(MID(D39,1,FIND("|",D39)-1)&amp;"-"&amp;C39,"")</f>
        <v>AICI201805-3-1-2</v>
      </c>
      <c r="B39" s="19" t="n">
        <f aca="false">IFERROR(__xludf.dummyfunction("""COMPUTED_VALUE"""),43703)</f>
        <v>43703</v>
      </c>
      <c r="C39" s="0" t="n">
        <f aca="false">IFERROR(__xludf.dummyfunction("""COMPUTED_VALUE"""),2)</f>
        <v>2</v>
      </c>
      <c r="D39" s="0" t="str">
        <f aca="false">IFERROR(__xludf.dummyfunction("""COMPUTED_VALUE"""),"AICI201805-3-1| A1. Elaborar matriz de seguimiento a las historias laborales de los funcionarios con derecho cesantias retroactivas con el fin de establecer las difernecias que pudieren existir en las liquidaciones parciales que se han realizado a las sol"&amp;"icitudes de los trabajadores. - 9/30/2019")</f>
        <v>AICI201805-3-1| A1. Elaborar matriz de seguimiento a las historias laborales de los funcionarios con derecho cesantias retroactivas con el fin de establecer las difernecias que pudieren existir en las liquidaciones parciales que se han realizado a las solicitudes de los trabajadores. - 9/30/2019</v>
      </c>
      <c r="E39" s="0" t="str">
        <f aca="false">IFERROR(__xludf.dummyfunction("""COMPUTED_VALUE"""),"La acción propuesta es elaborar matriz de seguimiento a las historias laborales de los funcionarios con derecho cesantias retroactivas con el fin de establecer las diferencias que pudieren existir en las liquidaciones parciales que se han realizado a las "&amp;"solicitudes de los trabajadores, sin embargo lo que se anexa es una relación de 69 Historias laborales revisadas con el valor de las cesantías entregadas a diciembre 31 de 2018. No se evidencia el comparativo para determinar posibles diferencias. ")</f>
        <v>La acción propuesta es elaborar matriz de seguimiento a las historias laborales de los funcionarios con derecho cesantias retroactivas con el fin de establecer las diferencias que pudieren existir en las liquidaciones parciales que se han realizado a las solicitudes de los trabajadores, sin embargo lo que se anexa es una relación de 69 Historias laborales revisadas con el valor de las cesantías entregadas a diciembre 31 de 2018. No se evidencia el comparativo para determinar posibles diferencias. </v>
      </c>
      <c r="F39" s="0" t="str">
        <f aca="false">IFERROR(__xludf.dummyfunction("""COMPUTED_VALUE"""),"En desarrollo")</f>
        <v>En desarrollo</v>
      </c>
    </row>
    <row r="40" customFormat="false" ht="14.25" hidden="false" customHeight="false" outlineLevel="0" collapsed="false">
      <c r="A40" s="18" t="str">
        <f aca="false">IFERROR(MID(D40,1,FIND("|",D40)-1)&amp;"-"&amp;C40,"")</f>
        <v>AICI201805-3-2-2</v>
      </c>
      <c r="B40" s="19" t="n">
        <f aca="false">IFERROR(__xludf.dummyfunction("""COMPUTED_VALUE"""),43703)</f>
        <v>43703</v>
      </c>
      <c r="C40" s="0" t="n">
        <f aca="false">IFERROR(__xludf.dummyfunction("""COMPUTED_VALUE"""),2)</f>
        <v>2</v>
      </c>
      <c r="D40" s="0" t="str">
        <f aca="false">IFERROR(__xludf.dummyfunction("""COMPUTED_VALUE"""),"AICI201805-3-2| A2. Implementar puntos de control que permitan la verificación de la liquidación emitida (como minimo un tecnico en nómina diferente al liquidador y un profesional de la Dirección de Talento Humano) - 12/31/2019")</f>
        <v>AICI201805-3-2| A2. Implementar puntos de control que permitan la verificación de la liquidación emitida (como minimo un tecnico en nómina diferente al liquidador y un profesional de la Dirección de Talento Humano) - 12/31/2019</v>
      </c>
      <c r="E40" s="0" t="str">
        <f aca="false">IFERROR(__xludf.dummyfunction("""COMPUTED_VALUE"""),"Se anexa formato de liquidación de cesantías, firmada por dos (2) Técnicos Operativos, únicamente. Se recomienda que sean revisadas y firmadas por los dos Técnicos y un profesional de la Dirección de Talento Humano, como se estableció en la acción propues"&amp;"ta.")</f>
        <v>Se anexa formato de liquidación de cesantías, firmada por dos (2) Técnicos Operativos, únicamente. Se recomienda que sean revisadas y firmadas por los dos Técnicos y un profesional de la Dirección de Talento Humano, como se estableció en la acción propuesta.</v>
      </c>
      <c r="F40" s="0" t="str">
        <f aca="false">IFERROR(__xludf.dummyfunction("""COMPUTED_VALUE"""),"En desarrollo")</f>
        <v>En desarrollo</v>
      </c>
    </row>
    <row r="41" customFormat="false" ht="14.25" hidden="false" customHeight="false" outlineLevel="0" collapsed="false">
      <c r="A41" s="18" t="str">
        <f aca="false">IFERROR(MID(D41,1,FIND("|",D41)-1)&amp;"-"&amp;C41,"")</f>
        <v>AICI201805-4-1-2</v>
      </c>
      <c r="B41" s="19" t="n">
        <f aca="false">IFERROR(__xludf.dummyfunction("""COMPUTED_VALUE"""),43703)</f>
        <v>43703</v>
      </c>
      <c r="C41" s="0" t="n">
        <f aca="false">IFERROR(__xludf.dummyfunction("""COMPUTED_VALUE"""),2)</f>
        <v>2</v>
      </c>
      <c r="D41" s="0" t="str">
        <f aca="false">IFERROR(__xludf.dummyfunction("""COMPUTED_VALUE"""),"AICI201805-4-1| A1. Elaborar matriz de seguimiento a las historias laborales de los funcionarios con derecho cesantias retroactivas con el fin de establecer las difernecias que pudieren existir en las liquidaciones parciales que se han realizado a las sol"&amp;"icitudes de los trabajadores. - 9/30/2019")</f>
        <v>AICI201805-4-1| A1. Elaborar matriz de seguimiento a las historias laborales de los funcionarios con derecho cesantias retroactivas con el fin de establecer las difernecias que pudieren existir en las liquidaciones parciales que se han realizado a las solicitudes de los trabajadores. - 9/30/2019</v>
      </c>
      <c r="E41" s="0" t="str">
        <f aca="false">IFERROR(__xludf.dummyfunction("""COMPUTED_VALUE"""),"La acción propuesta es elaborar matriz de seguimiento a las historias laborales de los funcionarios con derecho cesantias retroactivas con el fin de establecer las diferencias que pudieren existir en las liquidaciones parciales que se han realizado a las "&amp;"solicitudes de los trabajadores, sin embargo lo que se anexa es una relación de 69 Historias laborales revisadas con el valor de las cesantías entregadas a diciembre 31 de 2018. No se evidencia el comparativo para determinar posibles diferencias. ")</f>
        <v>La acción propuesta es elaborar matriz de seguimiento a las historias laborales de los funcionarios con derecho cesantias retroactivas con el fin de establecer las diferencias que pudieren existir en las liquidaciones parciales que se han realizado a las solicitudes de los trabajadores, sin embargo lo que se anexa es una relación de 69 Historias laborales revisadas con el valor de las cesantías entregadas a diciembre 31 de 2018. No se evidencia el comparativo para determinar posibles diferencias. </v>
      </c>
      <c r="F41" s="0" t="str">
        <f aca="false">IFERROR(__xludf.dummyfunction("""COMPUTED_VALUE"""),"En desarrollo")</f>
        <v>En desarrollo</v>
      </c>
    </row>
    <row r="42" customFormat="false" ht="14.25" hidden="false" customHeight="false" outlineLevel="0" collapsed="false">
      <c r="A42" s="18" t="str">
        <f aca="false">IFERROR(MID(D42,1,FIND("|",D42)-1)&amp;"-"&amp;C42,"")</f>
        <v>AICI201805-4-2-2</v>
      </c>
      <c r="B42" s="19" t="n">
        <f aca="false">IFERROR(__xludf.dummyfunction("""COMPUTED_VALUE"""),43703)</f>
        <v>43703</v>
      </c>
      <c r="C42" s="0" t="n">
        <f aca="false">IFERROR(__xludf.dummyfunction("""COMPUTED_VALUE"""),2)</f>
        <v>2</v>
      </c>
      <c r="D42" s="0" t="str">
        <f aca="false">IFERROR(__xludf.dummyfunction("""COMPUTED_VALUE"""),"AICI201805-4-2| A2. Implementar puntos de control que permitan la verificación de la liquidación emitida (como minimo un tecnico en nómina diferente al liquidador y un profesional de la Dirección de Talento Humano). - 12/31/2019")</f>
        <v>AICI201805-4-2| A2. Implementar puntos de control que permitan la verificación de la liquidación emitida (como minimo un tecnico en nómina diferente al liquidador y un profesional de la Dirección de Talento Humano). - 12/31/2019</v>
      </c>
      <c r="E42" s="0" t="str">
        <f aca="false">IFERROR(__xludf.dummyfunction("""COMPUTED_VALUE"""),"Se anexa formato de liquidación de cesantías, firmada por dos (2) Técnicos Operativos, únicamente. Se recomienda que sean revisadas y firmadas por los dos Técnicos y un profesional de la Dirección de Talento Humano, como se estableció en la acción propues"&amp;"ta.")</f>
        <v>Se anexa formato de liquidación de cesantías, firmada por dos (2) Técnicos Operativos, únicamente. Se recomienda que sean revisadas y firmadas por los dos Técnicos y un profesional de la Dirección de Talento Humano, como se estableció en la acción propuesta.</v>
      </c>
      <c r="F42" s="0" t="str">
        <f aca="false">IFERROR(__xludf.dummyfunction("""COMPUTED_VALUE"""),"En desarrollo")</f>
        <v>En desarrollo</v>
      </c>
    </row>
    <row r="43" customFormat="false" ht="14.25" hidden="false" customHeight="false" outlineLevel="0" collapsed="false">
      <c r="A43" s="18" t="str">
        <f aca="false">IFERROR(MID(D43,1,FIND("|",D43)-1)&amp;"-"&amp;C43,"")</f>
        <v>AICI201805-5-1-2</v>
      </c>
      <c r="B43" s="19" t="n">
        <f aca="false">IFERROR(__xludf.dummyfunction("""COMPUTED_VALUE"""),43703)</f>
        <v>43703</v>
      </c>
      <c r="C43" s="0" t="n">
        <f aca="false">IFERROR(__xludf.dummyfunction("""COMPUTED_VALUE"""),2)</f>
        <v>2</v>
      </c>
      <c r="D43" s="0" t="str">
        <f aca="false">IFERROR(__xludf.dummyfunction("""COMPUTED_VALUE"""),"AICI201805-5-1| A1. Realizar el archivo oportuno de los soportes en las historias laborales. - 12/31/2019")</f>
        <v>AICI201805-5-1| A1. Realizar el archivo oportuno de los soportes en las historias laborales. - 12/31/2019</v>
      </c>
      <c r="E43" s="0" t="str">
        <f aca="false">IFERROR(__xludf.dummyfunction("""COMPUTED_VALUE"""),"No se anexo pantallazo")</f>
        <v>No se anexo pantallazo</v>
      </c>
      <c r="F43" s="0" t="str">
        <f aca="false">IFERROR(__xludf.dummyfunction("""COMPUTED_VALUE"""),"En desarrollo")</f>
        <v>En desarrollo</v>
      </c>
    </row>
    <row r="44" customFormat="false" ht="14.25" hidden="false" customHeight="false" outlineLevel="0" collapsed="false">
      <c r="A44" s="18" t="str">
        <f aca="false">IFERROR(MID(D44,1,FIND("|",D44)-1)&amp;"-"&amp;C44,"")</f>
        <v>AICI201805-5-2-2</v>
      </c>
      <c r="B44" s="19" t="n">
        <f aca="false">IFERROR(__xludf.dummyfunction("""COMPUTED_VALUE"""),43703)</f>
        <v>43703</v>
      </c>
      <c r="C44" s="0" t="n">
        <f aca="false">IFERROR(__xludf.dummyfunction("""COMPUTED_VALUE"""),2)</f>
        <v>2</v>
      </c>
      <c r="D44" s="0" t="str">
        <f aca="false">IFERROR(__xludf.dummyfunction("""COMPUTED_VALUE"""),"AICI201805-5-2| A2. Gestionar ante el FONCEP, la emisión de una certificación de los valores cancelados por concepto de Cesantías de cada funcionario desde que laboraban para las fusionadas ESEs que hoy conforman la Subred Norte E.S.E. - 9/30/2019")</f>
        <v>AICI201805-5-2| A2. Gestionar ante el FONCEP, la emisión de una certificación de los valores cancelados por concepto de Cesantías de cada funcionario desde que laboraban para las fusionadas ESEs que hoy conforman la Subred Norte E.S.E. - 9/30/2019</v>
      </c>
      <c r="E44" s="0" t="str">
        <f aca="false">IFERROR(__xludf.dummyfunction("""COMPUTED_VALUE"""),"No se cuenta con un documento consolidado, que establezca los valores pagados por FAVIDI y por los Fondos a cada uno de los funcionarios, las nuevas liquidaciones se continúan basando en soportes de las hojas de vida, sin la certeza de que esos soportes e"&amp;"stén completos.")</f>
        <v>No se cuenta con un documento consolidado, que establezca los valores pagados por FAVIDI y por los Fondos a cada uno de los funcionarios, las nuevas liquidaciones se continúan basando en soportes de las hojas de vida, sin la certeza de que esos soportes estén completos.</v>
      </c>
      <c r="F44" s="0" t="str">
        <f aca="false">IFERROR(__xludf.dummyfunction("""COMPUTED_VALUE"""),"En desarrollo")</f>
        <v>En desarrollo</v>
      </c>
    </row>
    <row r="45" customFormat="false" ht="14.25" hidden="false" customHeight="false" outlineLevel="0" collapsed="false">
      <c r="A45" s="18" t="str">
        <f aca="false">IFERROR(MID(D45,1,FIND("|",D45)-1)&amp;"-"&amp;C45,"")</f>
        <v>AICI201805-6-1-2</v>
      </c>
      <c r="B45" s="19" t="n">
        <f aca="false">IFERROR(__xludf.dummyfunction("""COMPUTED_VALUE"""),43703)</f>
        <v>43703</v>
      </c>
      <c r="C45" s="0" t="n">
        <f aca="false">IFERROR(__xludf.dummyfunction("""COMPUTED_VALUE"""),2)</f>
        <v>2</v>
      </c>
      <c r="D45" s="0" t="str">
        <f aca="false">IFERROR(__xludf.dummyfunction("""COMPUTED_VALUE"""),"AICI201805-6-1| A1. Gestionar ante el FONCEP, la emisión de una certificación de los valores cancelados por concepto de Cesantías de cada funcionario desde que laboraban para las fusionadas ESEs que hoy conforman la Subred Norte E.S.E. - 9/30/2019")</f>
        <v>AICI201805-6-1| A1. Gestionar ante el FONCEP, la emisión de una certificación de los valores cancelados por concepto de Cesantías de cada funcionario desde que laboraban para las fusionadas ESEs que hoy conforman la Subred Norte E.S.E. - 9/30/2019</v>
      </c>
      <c r="E45" s="0" t="str">
        <f aca="false">IFERROR(__xludf.dummyfunction("""COMPUTED_VALUE"""),"No se cuenta con un documento consolidado, que establezca los valores pagados por FAVIDI y por los Fondos a cada uno de los funcionarios, las nuevas liquidaciones se continúan basando en soportes de las hojas de vida, sin la certeza de que esos soportes e"&amp;"stén completos.")</f>
        <v>No se cuenta con un documento consolidado, que establezca los valores pagados por FAVIDI y por los Fondos a cada uno de los funcionarios, las nuevas liquidaciones se continúan basando en soportes de las hojas de vida, sin la certeza de que esos soportes estén completos.</v>
      </c>
      <c r="F45" s="0" t="str">
        <f aca="false">IFERROR(__xludf.dummyfunction("""COMPUTED_VALUE"""),"En desarrollo")</f>
        <v>En desarrollo</v>
      </c>
    </row>
    <row r="46" customFormat="false" ht="14.25" hidden="false" customHeight="false" outlineLevel="0" collapsed="false">
      <c r="A46" s="18" t="str">
        <f aca="false">IFERROR(MID(D46,1,FIND("|",D46)-1)&amp;"-"&amp;C46,"")</f>
        <v>AICI201805-7-1-2</v>
      </c>
      <c r="B46" s="19" t="n">
        <f aca="false">IFERROR(__xludf.dummyfunction("""COMPUTED_VALUE"""),43703)</f>
        <v>43703</v>
      </c>
      <c r="C46" s="0" t="n">
        <f aca="false">IFERROR(__xludf.dummyfunction("""COMPUTED_VALUE"""),2)</f>
        <v>2</v>
      </c>
      <c r="D46" s="0" t="str">
        <f aca="false">IFERROR(__xludf.dummyfunction("""COMPUTED_VALUE"""),"AICI201805-7-1| Elaborar un instructivo para la conciliacion mensual de saldos con los Fondos de cesantias del convenio de retroactividad. - 9/30/2019")</f>
        <v>AICI201805-7-1| Elaborar un instructivo para la conciliacion mensual de saldos con los Fondos de cesantias del convenio de retroactividad. - 9/30/2019</v>
      </c>
      <c r="E46" s="0" t="str">
        <f aca="false">IFERROR(__xludf.dummyfunction("""COMPUTED_VALUE"""),"Anexan ""Instructivo de Cesantías"" CÓDIGO: AP-TH-I-22-01, del 30/11/2018, en el cual no se trata el tema de conciliación con los Fondos")</f>
        <v>Anexan "Instructivo de Cesantías" CÓDIGO: AP-TH-I-22-01, del 30/11/2018, en el cual no se trata el tema de conciliación con los Fondos</v>
      </c>
      <c r="F46" s="0" t="str">
        <f aca="false">IFERROR(__xludf.dummyfunction("""COMPUTED_VALUE"""),"En desarrollo")</f>
        <v>En desarrollo</v>
      </c>
    </row>
    <row r="47" customFormat="false" ht="14.25" hidden="false" customHeight="false" outlineLevel="0" collapsed="false">
      <c r="A47" s="18" t="str">
        <f aca="false">IFERROR(MID(D47,1,FIND("|",D47)-1)&amp;"-"&amp;C47,"")</f>
        <v>AICI201805-10-1-2</v>
      </c>
      <c r="B47" s="19" t="n">
        <f aca="false">IFERROR(__xludf.dummyfunction("""COMPUTED_VALUE"""),43703)</f>
        <v>43703</v>
      </c>
      <c r="C47" s="0" t="n">
        <f aca="false">IFERROR(__xludf.dummyfunction("""COMPUTED_VALUE"""),2)</f>
        <v>2</v>
      </c>
      <c r="D47" s="0" t="str">
        <f aca="false">IFERROR(__xludf.dummyfunction("""COMPUTED_VALUE"""),"AICI201805-10-1| A1: Remitir a Cartera los soportes correspondientes de los saneamientos a los recursos del Sistema General de Participaciones que permitan iniciar la gestión de recuperación o cobro. - 9/30/2019")</f>
        <v>AICI201805-10-1| A1: Remitir a Cartera los soportes correspondientes de los saneamientos a los recursos del Sistema General de Participaciones que permitan iniciar la gestión de recuperación o cobro. - 9/30/2019</v>
      </c>
      <c r="E47" s="0" t="str">
        <f aca="false">IFERROR(__xludf.dummyfunction("""COMPUTED_VALUE"""),"Talento Humano posterior al proceso que se ha venido adelantando de saneamiento, determina un valor cobrable de $2,223,747,924, pero no demuestra la gestión de cobro por acciones propias o seguimiento a la gestión realizada  a través del área de cartera d"&amp;"e la Entidad. No se evidencia el envío a Cartera de  los soportes correspondientes de los saneamientos a los recursos del Sistema General de Participaciones que permitan iniciar la gestión de recuperación o cobro.")</f>
        <v>Talento Humano posterior al proceso que se ha venido adelantando de saneamiento, determina un valor cobrable de $2,223,747,924, pero no demuestra la gestión de cobro por acciones propias o seguimiento a la gestión realizada  a través del área de cartera de la Entidad. No se evidencia el envío a Cartera de  los soportes correspondientes de los saneamientos a los recursos del Sistema General de Participaciones que permitan iniciar la gestión de recuperación o cobro.</v>
      </c>
      <c r="F47" s="0" t="str">
        <f aca="false">IFERROR(__xludf.dummyfunction("""COMPUTED_VALUE"""),"En desarrollo")</f>
        <v>En desarrollo</v>
      </c>
    </row>
    <row r="48" customFormat="false" ht="14.25" hidden="false" customHeight="false" outlineLevel="0" collapsed="false">
      <c r="A48" s="18" t="str">
        <f aca="false">IFERROR(MID(D48,1,FIND("|",D48)-1)&amp;"-"&amp;C48,"")</f>
        <v>AICI201805-10-2-2</v>
      </c>
      <c r="B48" s="19" t="n">
        <f aca="false">IFERROR(__xludf.dummyfunction("""COMPUTED_VALUE"""),43703)</f>
        <v>43703</v>
      </c>
      <c r="C48" s="0" t="n">
        <f aca="false">IFERROR(__xludf.dummyfunction("""COMPUTED_VALUE"""),2)</f>
        <v>2</v>
      </c>
      <c r="D48" s="0" t="str">
        <f aca="false">IFERROR(__xludf.dummyfunction("""COMPUTED_VALUE"""),"AICI201805-10-2| A2: Hacer seguimiento a la gestión de cobro que desarrolla Cartera de los recursos del Sistema General de Participaciones. - 9/30/2019")</f>
        <v>AICI201805-10-2| A2: Hacer seguimiento a la gestión de cobro que desarrolla Cartera de los recursos del Sistema General de Participaciones. - 9/30/2019</v>
      </c>
      <c r="E48" s="0" t="str">
        <f aca="false">IFERROR(__xludf.dummyfunction("""COMPUTED_VALUE"""),"La Acción propuesta a desarrollar por parte de Talento Humano es hacer seguimiento a la gestión de cobro que desarrolla Cartera de los recursos del Sistema General de Participaciones, la cual no se evidencia")</f>
        <v>La Acción propuesta a desarrollar por parte de Talento Humano es hacer seguimiento a la gestión de cobro que desarrolla Cartera de los recursos del Sistema General de Participaciones, la cual no se evidencia</v>
      </c>
      <c r="F48" s="0" t="str">
        <f aca="false">IFERROR(__xludf.dummyfunction("""COMPUTED_VALUE"""),"En desarrollo")</f>
        <v>En desarrollo</v>
      </c>
    </row>
    <row r="49" customFormat="false" ht="14.25" hidden="false" customHeight="false" outlineLevel="0" collapsed="false">
      <c r="A49" s="18" t="str">
        <f aca="false">IFERROR(MID(D49,1,FIND("|",D49)-1)&amp;"-"&amp;C49,"")</f>
        <v>AICI201805-10-3-2</v>
      </c>
      <c r="B49" s="19" t="n">
        <f aca="false">IFERROR(__xludf.dummyfunction("""COMPUTED_VALUE"""),43703)</f>
        <v>43703</v>
      </c>
      <c r="C49" s="0" t="n">
        <f aca="false">IFERROR(__xludf.dummyfunction("""COMPUTED_VALUE"""),2)</f>
        <v>2</v>
      </c>
      <c r="D49" s="0" t="str">
        <f aca="false">IFERROR(__xludf.dummyfunction("""COMPUTED_VALUE"""),"AICI201805-10-3| A3: Realizar conforme a lo gestionado por Cartera la actualización de información en la Matriz de saneamiento de Aportes Patronales. - 9/30/2019")</f>
        <v>AICI201805-10-3| A3: Realizar conforme a lo gestionado por Cartera la actualización de información en la Matriz de saneamiento de Aportes Patronales. - 9/30/2019</v>
      </c>
      <c r="E49" s="0" t="str">
        <f aca="false">IFERROR(__xludf.dummyfunction("""COMPUTED_VALUE"""),"La acción propuesta por Talento Humano es realizar conforme a lo gestionado por Cartera la actualización de información en la Matriz de saneamiento de Aportes Patronales, lo cual no se evidencia.")</f>
        <v>La acción propuesta por Talento Humano es realizar conforme a lo gestionado por Cartera la actualización de información en la Matriz de saneamiento de Aportes Patronales, lo cual no se evidencia.</v>
      </c>
      <c r="F49" s="0" t="str">
        <f aca="false">IFERROR(__xludf.dummyfunction("""COMPUTED_VALUE"""),"En desarrollo")</f>
        <v>En desarrollo</v>
      </c>
    </row>
    <row r="50" customFormat="false" ht="14.25" hidden="false" customHeight="false" outlineLevel="0" collapsed="false">
      <c r="A50" s="18" t="str">
        <f aca="false">IFERROR(MID(D50,1,FIND("|",D50)-1)&amp;"-"&amp;C50,"")</f>
        <v>AICI201805-10-4-2</v>
      </c>
      <c r="B50" s="19" t="n">
        <f aca="false">IFERROR(__xludf.dummyfunction("""COMPUTED_VALUE"""),43703)</f>
        <v>43703</v>
      </c>
      <c r="C50" s="0" t="n">
        <f aca="false">IFERROR(__xludf.dummyfunction("""COMPUTED_VALUE"""),2)</f>
        <v>2</v>
      </c>
      <c r="D50" s="0" t="str">
        <f aca="false">IFERROR(__xludf.dummyfunction("""COMPUTED_VALUE"""),"AICI201805-10-4| A4: Desarollar la gestión de depuración de saldos de los recursos del Sistema General de Participaciones. - 9/30/2019")</f>
        <v>AICI201805-10-4| A4: Desarollar la gestión de depuración de saldos de los recursos del Sistema General de Participaciones. - 9/30/2019</v>
      </c>
      <c r="E50" s="0" t="str">
        <f aca="false">IFERROR(__xludf.dummyfunction("""COMPUTED_VALUE"""),"Se anexa normatividad vigente, cronograma de actividades a desarrollar y matriz con fecha de actualización a junio de 2019")</f>
        <v>Se anexa normatividad vigente, cronograma de actividades a desarrollar y matriz con fecha de actualización a junio de 2019</v>
      </c>
      <c r="F50" s="0" t="str">
        <f aca="false">IFERROR(__xludf.dummyfunction("""COMPUTED_VALUE"""),"Completo")</f>
        <v>Completo</v>
      </c>
    </row>
    <row r="51" customFormat="false" ht="14.25" hidden="false" customHeight="false" outlineLevel="0" collapsed="false">
      <c r="A51" s="18" t="str">
        <f aca="false">IFERROR(MID(D51,1,FIND("|",D51)-1)&amp;"-"&amp;C51,"")</f>
        <v>AICI201805-14-1-2</v>
      </c>
      <c r="B51" s="19" t="n">
        <f aca="false">IFERROR(__xludf.dummyfunction("""COMPUTED_VALUE"""),43703)</f>
        <v>43703</v>
      </c>
      <c r="C51" s="0" t="n">
        <f aca="false">IFERROR(__xludf.dummyfunction("""COMPUTED_VALUE"""),2)</f>
        <v>2</v>
      </c>
      <c r="D51" s="0" t="str">
        <f aca="false">IFERROR(__xludf.dummyfunction("""COMPUTED_VALUE"""),"AICI201805-14-1| A1: Diseñar e implementar un instructivo para efectuar las reincorporaciones al servicio activo del personal, motivadas por la culminación de periodos de incapacidades superiores a 30 dias. - 4/30/2019")</f>
        <v>AICI201805-14-1| A1: Diseñar e implementar un instructivo para efectuar las reincorporaciones al servicio activo del personal, motivadas por la culminación de periodos de incapacidades superiores a 30 dias. - 4/30/2019</v>
      </c>
      <c r="E51" s="0" t="str">
        <f aca="false">IFERROR(__xludf.dummyfunction("""COMPUTED_VALUE"""),"Actualmente no se ha diseñado ni implementado un instructivo para efectuar las reincorporaciones al servicio activo del personal, motivadas por la culminación de periodos de incapacidades superiores a 30 días. Se aduce el retraso en la ejecución de la acc"&amp;"ión por el proceso de elección de la ARL, con la cual se inicio el proceso de diagnóstico y reorganización del plan de trabajo en el que se incluyó el tema.")</f>
        <v>Actualmente no se ha diseñado ni implementado un instructivo para efectuar las reincorporaciones al servicio activo del personal, motivadas por la culminación de periodos de incapacidades superiores a 30 días. Se aduce el retraso en la ejecución de la acción por el proceso de elección de la ARL, con la cual se inicio el proceso de diagnóstico y reorganización del plan de trabajo en el que se incluyó el tema.</v>
      </c>
      <c r="F51" s="0" t="str">
        <f aca="false">IFERROR(__xludf.dummyfunction("""COMPUTED_VALUE"""),"Atrasado")</f>
        <v>Atrasado</v>
      </c>
    </row>
    <row r="52" customFormat="false" ht="14.25" hidden="false" customHeight="false" outlineLevel="0" collapsed="false">
      <c r="A52" s="18" t="str">
        <f aca="false">IFERROR(MID(D52,1,FIND("|",D52)-1)&amp;"-"&amp;C52,"")</f>
        <v>AICI201805-14-2-2</v>
      </c>
      <c r="B52" s="19" t="n">
        <f aca="false">IFERROR(__xludf.dummyfunction("""COMPUTED_VALUE"""),43703)</f>
        <v>43703</v>
      </c>
      <c r="C52" s="0" t="n">
        <f aca="false">IFERROR(__xludf.dummyfunction("""COMPUTED_VALUE"""),2)</f>
        <v>2</v>
      </c>
      <c r="D52" s="0" t="str">
        <f aca="false">IFERROR(__xludf.dummyfunction("""COMPUTED_VALUE"""),"AICI201805-14-2| A2. Realizar el archivo oportuno de los soportes en las historias laborales. - 12/31/2019")</f>
        <v>AICI201805-14-2| A2. Realizar el archivo oportuno de los soportes en las historias laborales. - 12/31/2019</v>
      </c>
      <c r="E52" s="0" t="str">
        <f aca="false">IFERROR(__xludf.dummyfunction("""COMPUTED_VALUE"""),"No se anexa evidencia ")</f>
        <v>No se anexa evidencia </v>
      </c>
      <c r="F52" s="0" t="str">
        <f aca="false">IFERROR(__xludf.dummyfunction("""COMPUTED_VALUE"""),"En desarrollo")</f>
        <v>En desarrollo</v>
      </c>
    </row>
    <row r="53" customFormat="false" ht="14.25" hidden="false" customHeight="false" outlineLevel="0" collapsed="false">
      <c r="A53" s="18" t="str">
        <f aca="false">IFERROR(MID(D53,1,FIND("|",D53)-1)&amp;"-"&amp;C53,"")</f>
        <v>AICI201805-15-1-2</v>
      </c>
      <c r="B53" s="19" t="n">
        <f aca="false">IFERROR(__xludf.dummyfunction("""COMPUTED_VALUE"""),43703)</f>
        <v>43703</v>
      </c>
      <c r="C53" s="0" t="n">
        <f aca="false">IFERROR(__xludf.dummyfunction("""COMPUTED_VALUE"""),2)</f>
        <v>2</v>
      </c>
      <c r="D53" s="0" t="str">
        <f aca="false">IFERROR(__xludf.dummyfunction("""COMPUTED_VALUE"""),"AICI201805-15-1| Ajustar la Politica de Seguridad y Salud en el Trabajo que comtemple los elementos de justificación, alcance, identificación de riesgos, campo de aplicación y cumpla con los requerido en el Decreto 1072 - 2015 frente a la fecha y firma de"&amp;"l Represenatnte legal. - 5/30/2019")</f>
        <v>AICI201805-15-1| Ajustar la Politica de Seguridad y Salud en el Trabajo que comtemple los elementos de justificación, alcance, identificación de riesgos, campo de aplicación y cumpla con los requerido en el Decreto 1072 - 2015 frente a la fecha y firma del Represenatnte legal. - 5/30/2019</v>
      </c>
      <c r="E53" s="0" t="str">
        <f aca="false">IFERROR(__xludf.dummyfunction("""COMPUTED_VALUE"""),"La Política de Seguridad y Salud en el Trabajo debe contemplar  los elementos de justificación, alcance, identificación de riesgos, campo de aplicación y que cumpla con los requerido en el Decreto 1072 - 2015 frente a la fecha y firma del Representante le"&amp;"gal. Se anexo resolución sin firma y sin los requisitos mencionados")</f>
        <v>La Política de Seguridad y Salud en el Trabajo debe contemplar  los elementos de justificación, alcance, identificación de riesgos, campo de aplicación y que cumpla con los requerido en el Decreto 1072 - 2015 frente a la fecha y firma del Representante legal. Se anexo resolución sin firma y sin los requisitos mencionados</v>
      </c>
      <c r="F53" s="0" t="str">
        <f aca="false">IFERROR(__xludf.dummyfunction("""COMPUTED_VALUE"""),"Atrasado")</f>
        <v>Atrasado</v>
      </c>
    </row>
    <row r="54" customFormat="false" ht="14.25" hidden="false" customHeight="false" outlineLevel="0" collapsed="false">
      <c r="A54" s="18" t="str">
        <f aca="false">IFERROR(MID(D54,1,FIND("|",D54)-1)&amp;"-"&amp;C54,"")</f>
        <v>AICI201805-16-1-2</v>
      </c>
      <c r="B54" s="19" t="n">
        <f aca="false">IFERROR(__xludf.dummyfunction("""COMPUTED_VALUE"""),43703)</f>
        <v>43703</v>
      </c>
      <c r="C54" s="0" t="n">
        <f aca="false">IFERROR(__xludf.dummyfunction("""COMPUTED_VALUE"""),2)</f>
        <v>2</v>
      </c>
      <c r="D54" s="0" t="str">
        <f aca="false">IFERROR(__xludf.dummyfunction("""COMPUTED_VALUE"""),"AICI201805-16-1| Divulgar el documento ajustado de la Política de Seguridad y Salud en el Trabajo de la entidad, debidamente firmado por el Representante Legal. - 5/30/2019")</f>
        <v>AICI201805-16-1| Divulgar el documento ajustado de la Política de Seguridad y Salud en el Trabajo de la entidad, debidamente firmado por el Representante Legal. - 5/30/2019</v>
      </c>
      <c r="E54" s="0" t="str">
        <f aca="false">IFERROR(__xludf.dummyfunction("""COMPUTED_VALUE"""),"No se cuenta con la formalización de la Política y su socialización")</f>
        <v>No se cuenta con la formalización de la Política y su socialización</v>
      </c>
      <c r="F54" s="0" t="str">
        <f aca="false">IFERROR(__xludf.dummyfunction("""COMPUTED_VALUE"""),"Atrasado")</f>
        <v>Atrasado</v>
      </c>
    </row>
    <row r="55" customFormat="false" ht="14.25" hidden="false" customHeight="false" outlineLevel="0" collapsed="false">
      <c r="A55" s="18" t="str">
        <f aca="false">IFERROR(MID(D55,1,FIND("|",D55)-1)&amp;"-"&amp;C55,"")</f>
        <v>AICI201805-17-1-2</v>
      </c>
      <c r="B55" s="19" t="n">
        <f aca="false">IFERROR(__xludf.dummyfunction("""COMPUTED_VALUE"""),43703)</f>
        <v>43703</v>
      </c>
      <c r="C55" s="0" t="n">
        <f aca="false">IFERROR(__xludf.dummyfunction("""COMPUTED_VALUE"""),2)</f>
        <v>2</v>
      </c>
      <c r="D55" s="0" t="str">
        <f aca="false">IFERROR(__xludf.dummyfunction("""COMPUTED_VALUE"""),"AICI201805-17-1| Elaborar el documento Plan de Acción para la vigencia 2019 conforme a los lineamientos fijados en el Decreto No.1072-2015 Artículo 2.2.4.6.17. - 3/31/2019")</f>
        <v>AICI201805-17-1| Elaborar el documento Plan de Acción para la vigencia 2019 conforme a los lineamientos fijados en el Decreto No.1072-2015 Artículo 2.2.4.6.17. - 3/31/2019</v>
      </c>
      <c r="E55" s="0" t="str">
        <f aca="false">IFERROR(__xludf.dummyfunction("""COMPUTED_VALUE"""),"No se presenta el Plan de Acción para la vigencia  2019 conforme a los lineamientos fijados en el Decreto No.1072-2015 Artículo 2.2.4.6.17. El soporte enviado corresponde a la vigencia 2017 ")</f>
        <v>No se presenta el Plan de Acción para la vigencia  2019 conforme a los lineamientos fijados en el Decreto No.1072-2015 Artículo 2.2.4.6.17. El soporte enviado corresponde a la vigencia 2017 </v>
      </c>
      <c r="F55" s="0" t="str">
        <f aca="false">IFERROR(__xludf.dummyfunction("""COMPUTED_VALUE"""),"Atrasado")</f>
        <v>Atrasado</v>
      </c>
    </row>
    <row r="56" customFormat="false" ht="14.25" hidden="false" customHeight="false" outlineLevel="0" collapsed="false">
      <c r="A56" s="18" t="str">
        <f aca="false">IFERROR(MID(D56,1,FIND("|",D56)-1)&amp;"-"&amp;C56,"")</f>
        <v>AICI201805-18-1-2</v>
      </c>
      <c r="B56" s="19" t="n">
        <f aca="false">IFERROR(__xludf.dummyfunction("""COMPUTED_VALUE"""),43703)</f>
        <v>43703</v>
      </c>
      <c r="C56" s="0" t="n">
        <f aca="false">IFERROR(__xludf.dummyfunction("""COMPUTED_VALUE"""),2)</f>
        <v>2</v>
      </c>
      <c r="D56" s="0" t="str">
        <f aca="false">IFERROR(__xludf.dummyfunction("""COMPUTED_VALUE"""),"AICI201805-18-1| A1: Elevar citación a los representantes de trabajadores y representantes de la entidad para celebración de reunión del Comité Paritario de Seguridad y Salud en el Trabajo de la Subred Norte E.S.E., conforme a lo señalado en la Resolución"&amp;" No. 0051 de 2017 - Artículos Quinto y Séptimo de la Resolución No. 0051 de 2017. - 12/31/2019")</f>
        <v>AICI201805-18-1| A1: Elevar citación a los representantes de trabajadores y representantes de la entidad para celebración de reunión del Comité Paritario de Seguridad y Salud en el Trabajo de la Subred Norte E.S.E., conforme a lo señalado en la Resolución No. 0051 de 2017 - Artículos Quinto y Séptimo de la Resolución No. 0051 de 2017. - 12/31/2019</v>
      </c>
      <c r="E56" s="0" t="str">
        <f aca="false">IFERROR(__xludf.dummyfunction("""COMPUTED_VALUE"""),"Se esta realizando la citación de forma acorde a la conformación del Comité Paritario - Resolución 241 del 13 de mayo de 2019.")</f>
        <v>Se esta realizando la citación de forma acorde a la conformación del Comité Paritario - Resolución 241 del 13 de mayo de 2019.</v>
      </c>
      <c r="F56" s="0" t="str">
        <f aca="false">IFERROR(__xludf.dummyfunction("""COMPUTED_VALUE"""),"Completo")</f>
        <v>Completo</v>
      </c>
    </row>
    <row r="57" customFormat="false" ht="14.25" hidden="false" customHeight="false" outlineLevel="0" collapsed="false">
      <c r="A57" s="18" t="str">
        <f aca="false">IFERROR(MID(D57,1,FIND("|",D57)-1)&amp;"-"&amp;C57,"")</f>
        <v>AICI201805-18-2-2</v>
      </c>
      <c r="B57" s="19" t="n">
        <f aca="false">IFERROR(__xludf.dummyfunction("""COMPUTED_VALUE"""),43703)</f>
        <v>43703</v>
      </c>
      <c r="C57" s="0" t="n">
        <f aca="false">IFERROR(__xludf.dummyfunction("""COMPUTED_VALUE"""),2)</f>
        <v>2</v>
      </c>
      <c r="D57" s="0" t="str">
        <f aca="false">IFERROR(__xludf.dummyfunction("""COMPUTED_VALUE"""),"AICI201805-18-2| A2: Verificar la asitencia de los miembros (quorum) del Comité Paritario de Seguridad y Salud en el Trabajo de la Subred Norte E.S.E., conforme a lo señalado en la Resolución No. 0051 de 2017 - Artículos Quinto y Séptimo de la Resolución "&amp;"No. 0051 de 2017. - 12/31/2019")</f>
        <v>AICI201805-18-2| A2: Verificar la asitencia de los miembros (quorum) del Comité Paritario de Seguridad y Salud en el Trabajo de la Subred Norte E.S.E., conforme a lo señalado en la Resolución No. 0051 de 2017 - Artículos Quinto y Séptimo de la Resolución No. 0051 de 2017. - 12/31/2019</v>
      </c>
      <c r="E57" s="0" t="str">
        <f aca="false">IFERROR(__xludf.dummyfunction("""COMPUTED_VALUE"""),"Se requiere cumplir las exigencias del quorum en cada reunión del comité.
De acuerdo con la Resolución No. 241 del 13 de mayo de 2019, artículo cuarto dice: ""Para sesionar el Comité Paritario de Seguridad y Salud en el Trabajo de la Subred Integrada de S"&amp;"ervicios de Salud Norte E.S.E. (COPASST), contará con un quorum de la mitad más uno de sus miembros. Sin embargo,  pasados los primeros treinta minutos de la hora señalada para empezar la reunión, el Comité sesionará con los miembros presentes y sus decis"&amp;"iones tendrán plena validez.
Lo anterior no es claro por cuanto se entiende que no es necesario cumplir con el quorum para que las decisiones sean válidas.
       ")</f>
        <v>Se requiere cumplir las exigencias del quorum en cada reunión del comité.
De acuerdo con la Resolución No. 241 del 13 de mayo de 2019, artículo cuarto dice: "Para sesionar el Comité Paritario de Seguridad y Salud en el Trabajo de la Subred Integrada de Servicios de Salud Norte E.S.E. (COPASST), contará con un quorum de la mitad más uno de sus miembros. Sin embargo,  pasados los primeros treinta minutos de la hora señalada para empezar la reunión, el Comité sesionará con los miembros presentes y sus decisiones tendrán plena validez.
Lo anterior no es claro por cuanto se entiende que no es necesario cumplir con el quorum para que las decisiones sean válidas.
       </v>
      </c>
      <c r="F57" s="0" t="str">
        <f aca="false">IFERROR(__xludf.dummyfunction("""COMPUTED_VALUE"""),"En desarrollo")</f>
        <v>En desarrollo</v>
      </c>
    </row>
    <row r="58" customFormat="false" ht="14.25" hidden="false" customHeight="false" outlineLevel="0" collapsed="false">
      <c r="A58" s="18" t="str">
        <f aca="false">IFERROR(MID(D58,1,FIND("|",D58)-1)&amp;"-"&amp;C58,"")</f>
        <v>AICI201805-20-1-2</v>
      </c>
      <c r="B58" s="19" t="n">
        <f aca="false">IFERROR(__xludf.dummyfunction("""COMPUTED_VALUE"""),43703)</f>
        <v>43703</v>
      </c>
      <c r="C58" s="0" t="n">
        <f aca="false">IFERROR(__xludf.dummyfunction("""COMPUTED_VALUE"""),2)</f>
        <v>2</v>
      </c>
      <c r="D58" s="0" t="str">
        <f aca="false">IFERROR(__xludf.dummyfunction("""COMPUTED_VALUE"""),"AICI201805-20-1| A1: Realizar lectura del acta de reunión anterior con el fin de realizar verificación de cumplimiento y/o avance de los compromisos y tareas definidas por el Comité. - 12/31/2019")</f>
        <v>AICI201805-20-1| A1: Realizar lectura del acta de reunión anterior con el fin de realizar verificación de cumplimiento y/o avance de los compromisos y tareas definidas por el Comité. - 12/31/2019</v>
      </c>
      <c r="E58" s="0" t="str">
        <f aca="false">IFERROR(__xludf.dummyfunction("""COMPUTED_VALUE"""),"La acta que se anexa, registra los avances de los compromisos pendientes de la reunión anterior. En el orden del día se incluye el paso 3 como seguimiento a compromisos.")</f>
        <v>La acta que se anexa, registra los avances de los compromisos pendientes de la reunión anterior. En el orden del día se incluye el paso 3 como seguimiento a compromisos.</v>
      </c>
      <c r="F58" s="0" t="str">
        <f aca="false">IFERROR(__xludf.dummyfunction("""COMPUTED_VALUE"""),"Completo")</f>
        <v>Completo</v>
      </c>
    </row>
    <row r="59" customFormat="false" ht="14.25" hidden="false" customHeight="false" outlineLevel="0" collapsed="false">
      <c r="A59" s="18" t="str">
        <f aca="false">IFERROR(MID(D59,1,FIND("|",D59)-1)&amp;"-"&amp;C59,"")</f>
        <v>AICI201805-19-1-2</v>
      </c>
      <c r="B59" s="19" t="n">
        <f aca="false">IFERROR(__xludf.dummyfunction("""COMPUTED_VALUE"""),43703)</f>
        <v>43703</v>
      </c>
      <c r="C59" s="0" t="n">
        <f aca="false">IFERROR(__xludf.dummyfunction("""COMPUTED_VALUE"""),2)</f>
        <v>2</v>
      </c>
      <c r="D59" s="0" t="str">
        <f aca="false">IFERROR(__xludf.dummyfunction("""COMPUTED_VALUE"""),"AICI201805-19-1| Establecer en el acto administrativo de conformación del COPASST para la vigencia 2019-2021, el articulado que definira la participacion del lider o profesional a cargo del SGSST de la entidad. - 03/30/0219")</f>
        <v>AICI201805-19-1| Establecer en el acto administrativo de conformación del COPASST para la vigencia 2019-2021, el articulado que definira la participacion del lider o profesional a cargo del SGSST de la entidad. - 03/30/0219</v>
      </c>
      <c r="E59" s="0" t="str">
        <f aca="false">IFERROR(__xludf.dummyfunction("""COMPUTED_VALUE"""),"La Resolución No. 241 de 2019 en el parágrafo 1 del artículo sexto, establece que el líder del Sistema de Gestión de Seguridad y Salud en el trabajo será invitado permanente a éste comité  y la persona encargada de presentar los informes requeridos por el"&amp;" mismo.")</f>
        <v>La Resolución No. 241 de 2019 en el parágrafo 1 del artículo sexto, establece que el líder del Sistema de Gestión de Seguridad y Salud en el trabajo será invitado permanente a éste comité  y la persona encargada de presentar los informes requeridos por el mismo.</v>
      </c>
      <c r="F59" s="0" t="str">
        <f aca="false">IFERROR(__xludf.dummyfunction("""COMPUTED_VALUE"""),"Completo")</f>
        <v>Completo</v>
      </c>
    </row>
    <row r="60" customFormat="false" ht="14.25" hidden="false" customHeight="false" outlineLevel="0" collapsed="false">
      <c r="A60" s="18" t="str">
        <f aca="false">IFERROR(MID(D60,1,FIND("|",D60)-1)&amp;"-"&amp;C60,"")</f>
        <v>AICI201805-21-1-2</v>
      </c>
      <c r="B60" s="19" t="n">
        <f aca="false">IFERROR(__xludf.dummyfunction("""COMPUTED_VALUE"""),43703)</f>
        <v>43703</v>
      </c>
      <c r="C60" s="0" t="n">
        <f aca="false">IFERROR(__xludf.dummyfunction("""COMPUTED_VALUE"""),2)</f>
        <v>2</v>
      </c>
      <c r="D60" s="0" t="str">
        <f aca="false">IFERROR(__xludf.dummyfunction("""COMPUTED_VALUE"""),"AICI201805-21-1| A1: Establecer clara y completamente el orden del día a tratar durante la sesión del Comité Paritario de Seguridad y Salud en el Trabajo de la Subred Norte E.S.E. - 12/31/2019")</f>
        <v>AICI201805-21-1| A1: Establecer clara y completamente el orden del día a tratar durante la sesión del Comité Paritario de Seguridad y Salud en el Trabajo de la Subred Norte E.S.E. - 12/31/2019</v>
      </c>
      <c r="E60" s="0" t="str">
        <f aca="false">IFERROR(__xludf.dummyfunction("""COMPUTED_VALUE"""),"En la acta anexa se dio cumplimiento a la acción propuesta ")</f>
        <v>En la acta anexa se dio cumplimiento a la acción propuesta </v>
      </c>
      <c r="F60" s="0" t="str">
        <f aca="false">IFERROR(__xludf.dummyfunction("""COMPUTED_VALUE"""),"Completo")</f>
        <v>Completo</v>
      </c>
    </row>
    <row r="61" customFormat="false" ht="14.25" hidden="false" customHeight="false" outlineLevel="0" collapsed="false">
      <c r="A61" s="18" t="str">
        <f aca="false">IFERROR(MID(D61,1,FIND("|",D61)-1)&amp;"-"&amp;C61,"")</f>
        <v>AICI201805-22-1-2</v>
      </c>
      <c r="B61" s="19" t="n">
        <f aca="false">IFERROR(__xludf.dummyfunction("""COMPUTED_VALUE"""),43703)</f>
        <v>43703</v>
      </c>
      <c r="C61" s="0" t="n">
        <f aca="false">IFERROR(__xludf.dummyfunction("""COMPUTED_VALUE"""),2)</f>
        <v>2</v>
      </c>
      <c r="D61" s="0" t="str">
        <f aca="false">IFERROR(__xludf.dummyfunction("""COMPUTED_VALUE"""),"AICI201805-22-1| Consignar en las actas de reunión el cumplimiento de los compromisos y decisiones tomadas por los miembros del Comité y el efectivo cumplimiento de los mismos. - 12/31/2019")</f>
        <v>AICI201805-22-1| Consignar en las actas de reunión el cumplimiento de los compromisos y decisiones tomadas por los miembros del Comité y el efectivo cumplimiento de los mismos. - 12/31/2019</v>
      </c>
      <c r="E61" s="0" t="str">
        <f aca="false">IFERROR(__xludf.dummyfunction("""COMPUTED_VALUE"""),"En la acta anexa se dio cumplimiento a la acción propuesta ")</f>
        <v>En la acta anexa se dio cumplimiento a la acción propuesta </v>
      </c>
      <c r="F61" s="0" t="str">
        <f aca="false">IFERROR(__xludf.dummyfunction("""COMPUTED_VALUE"""),"Completo")</f>
        <v>Completo</v>
      </c>
    </row>
    <row r="62" customFormat="false" ht="14.25" hidden="false" customHeight="false" outlineLevel="0" collapsed="false">
      <c r="A62" s="18" t="str">
        <f aca="false">IFERROR(MID(D62,1,FIND("|",D62)-1)&amp;"-"&amp;C62,"")</f>
        <v>AICI201805-22-2-2</v>
      </c>
      <c r="B62" s="19" t="n">
        <f aca="false">IFERROR(__xludf.dummyfunction("""COMPUTED_VALUE"""),43703)</f>
        <v>43703</v>
      </c>
      <c r="C62" s="0" t="n">
        <f aca="false">IFERROR(__xludf.dummyfunction("""COMPUTED_VALUE"""),2)</f>
        <v>2</v>
      </c>
      <c r="D62" s="0" t="str">
        <f aca="false">IFERROR(__xludf.dummyfunction("""COMPUTED_VALUE"""),"AICI201805-22-2| Convocar y coordinar la celebración de las sesiones del Comité Paritario de Seguridad y Salud en el Trabajo de la Subred Norte E.S.E. - 12/31/2019")</f>
        <v>AICI201805-22-2| Convocar y coordinar la celebración de las sesiones del Comité Paritario de Seguridad y Salud en el Trabajo de la Subred Norte E.S.E. - 12/31/2019</v>
      </c>
      <c r="E62" s="0" t="str">
        <f aca="false">IFERROR(__xludf.dummyfunction("""COMPUTED_VALUE"""),"En la acta anexa se dio cumplimiento a la acción propuesta. Se anexa convocatoria.")</f>
        <v>En la acta anexa se dio cumplimiento a la acción propuesta. Se anexa convocatoria.</v>
      </c>
      <c r="F62" s="0" t="str">
        <f aca="false">IFERROR(__xludf.dummyfunction("""COMPUTED_VALUE"""),"Completo")</f>
        <v>Completo</v>
      </c>
    </row>
    <row r="63" customFormat="false" ht="14.25" hidden="false" customHeight="false" outlineLevel="0" collapsed="false">
      <c r="A63" s="18" t="str">
        <f aca="false">IFERROR(MID(D63,1,FIND("|",D63)-1)&amp;"-"&amp;C63,"")</f>
        <v>AICI201805-23-1-2</v>
      </c>
      <c r="B63" s="19" t="n">
        <f aca="false">IFERROR(__xludf.dummyfunction("""COMPUTED_VALUE"""),43703)</f>
        <v>43703</v>
      </c>
      <c r="C63" s="0" t="n">
        <f aca="false">IFERROR(__xludf.dummyfunction("""COMPUTED_VALUE"""),2)</f>
        <v>2</v>
      </c>
      <c r="D63" s="0" t="str">
        <f aca="false">IFERROR(__xludf.dummyfunction("""COMPUTED_VALUE"""),"AICI201805-23-1| A1: Definir los requisitos técnicos requeridos por la entidad para la prestación del servicio o adquisición de bien según corresponda, que permitan la construcción de los términos de referencia o pliegos de condiciones. - 12/31/2019")</f>
        <v>AICI201805-23-1| A1: Definir los requisitos técnicos requeridos por la entidad para la prestación del servicio o adquisición de bien según corresponda, que permitan la construcción de los términos de referencia o pliegos de condiciones. - 12/31/2019</v>
      </c>
      <c r="E63" s="0" t="str">
        <f aca="false">IFERROR(__xludf.dummyfunction("""COMPUTED_VALUE"""),"Se anexó PLIEGO DE CONDICIONES, Con las siguientes observaciones: El encabezado dice PLIEGO DE CONDICIONES No. 5 de 2019 y en el desarrollo del texto dice Pliego de Condiciones No. 4 de 2019. En el encabezado se incluye el logo de la Subred Sur Occidente "&amp;"- Unidad de Servicios de Salud Occidente de Kennedy. También se anexa Acta de Inicio del Contrato 127 de 2019 con Seguros de Vida Suramericana S.A., con fecha de inicio 1 de junio de 2019.")</f>
        <v>Se anexó PLIEGO DE CONDICIONES, Con las siguientes observaciones: El encabezado dice PLIEGO DE CONDICIONES No. 5 de 2019 y en el desarrollo del texto dice Pliego de Condiciones No. 4 de 2019. En el encabezado se incluye el logo de la Subred Sur Occidente - Unidad de Servicios de Salud Occidente de Kennedy. También se anexa Acta de Inicio del Contrato 127 de 2019 con Seguros de Vida Suramericana S.A., con fecha de inicio 1 de junio de 2019.</v>
      </c>
      <c r="F63" s="0" t="str">
        <f aca="false">IFERROR(__xludf.dummyfunction("""COMPUTED_VALUE"""),"Completo")</f>
        <v>Completo</v>
      </c>
    </row>
    <row r="64" customFormat="false" ht="14.25" hidden="false" customHeight="false" outlineLevel="0" collapsed="false">
      <c r="A64" s="18" t="str">
        <f aca="false">IFERROR(MID(D64,1,FIND("|",D64)-1)&amp;"-"&amp;C64,"")</f>
        <v>AICI201805-23-2-2</v>
      </c>
      <c r="B64" s="19" t="n">
        <f aca="false">IFERROR(__xludf.dummyfunction("""COMPUTED_VALUE"""),43703)</f>
        <v>43703</v>
      </c>
      <c r="C64" s="0" t="n">
        <f aca="false">IFERROR(__xludf.dummyfunction("""COMPUTED_VALUE"""),2)</f>
        <v>2</v>
      </c>
      <c r="D64" s="0" t="str">
        <f aca="false">IFERROR(__xludf.dummyfunction("""COMPUTED_VALUE"""),"AICI201805-23-2| A2: Establecer los factores de evaluación y modalidad de calificación a emplear (puntajes y/o porcentajes) para el proceso de selección del proveedor contratista, para su inclusión en los términos de referenica o pliego de condiciones. - "&amp;"12/31/2019")</f>
        <v>AICI201805-23-2| A2: Establecer los factores de evaluación y modalidad de calificación a emplear (puntajes y/o porcentajes) para el proceso de selección del proveedor contratista, para su inclusión en los términos de referenica o pliego de condiciones. - 12/31/2019</v>
      </c>
      <c r="E64" s="0" t="str">
        <f aca="false">IFERROR(__xludf.dummyfunction("""COMPUTED_VALUE"""),"La acción propuesta es establecer los factores de evaluación y modalidad de calificación a emplear (puntajes y/o porcentajes) para el proceso de selección del proveedor contratista, los cuales se incluyeron en el pliego de condiciones.")</f>
        <v>La acción propuesta es establecer los factores de evaluación y modalidad de calificación a emplear (puntajes y/o porcentajes) para el proceso de selección del proveedor contratista, los cuales se incluyeron en el pliego de condiciones.</v>
      </c>
      <c r="F64" s="0" t="str">
        <f aca="false">IFERROR(__xludf.dummyfunction("""COMPUTED_VALUE"""),"Completo")</f>
        <v>Completo</v>
      </c>
    </row>
    <row r="65" customFormat="false" ht="14.25" hidden="false" customHeight="false" outlineLevel="0" collapsed="false">
      <c r="A65" s="18" t="str">
        <f aca="false">IFERROR(MID(D65,1,FIND("|",D65)-1)&amp;"-"&amp;C65,"")</f>
        <v>AICI201805-23-3-2</v>
      </c>
      <c r="B65" s="19" t="n">
        <f aca="false">IFERROR(__xludf.dummyfunction("""COMPUTED_VALUE"""),43703)</f>
        <v>43703</v>
      </c>
      <c r="C65" s="0" t="n">
        <f aca="false">IFERROR(__xludf.dummyfunction("""COMPUTED_VALUE"""),2)</f>
        <v>2</v>
      </c>
      <c r="D65" s="0" t="str">
        <f aca="false">IFERROR(__xludf.dummyfunction("""COMPUTED_VALUE"""),"AICI201805-23-3| A3: Evaluar las propuestas participantes en el proceso de selección conforme a lo señalado en los términos de referencia o pliego de condiciones establecidos. - 12/31/2019")</f>
        <v>AICI201805-23-3| A3: Evaluar las propuestas participantes en el proceso de selección conforme a lo señalado en los términos de referencia o pliego de condiciones establecidos. - 12/31/2019</v>
      </c>
      <c r="E65" s="0" t="str">
        <f aca="false">IFERROR(__xludf.dummyfunction("""COMPUTED_VALUE"""),"Se realizo evaluación según invitación y los aspectos allí contemplados para su calificación.")</f>
        <v>Se realizo evaluación según invitación y los aspectos allí contemplados para su calificación.</v>
      </c>
      <c r="F65" s="0" t="str">
        <f aca="false">IFERROR(__xludf.dummyfunction("""COMPUTED_VALUE"""),"Completo")</f>
        <v>Completo</v>
      </c>
    </row>
    <row r="66" customFormat="false" ht="14.25" hidden="false" customHeight="false" outlineLevel="0" collapsed="false">
      <c r="A66" s="18" t="str">
        <f aca="false">IFERROR(MID(D66,1,FIND("|",D66)-1)&amp;"-"&amp;C66,"")</f>
        <v>AICI201805-24-1-2</v>
      </c>
      <c r="B66" s="19" t="n">
        <f aca="false">IFERROR(__xludf.dummyfunction("""COMPUTED_VALUE"""),43703)</f>
        <v>43703</v>
      </c>
      <c r="C66" s="0" t="n">
        <f aca="false">IFERROR(__xludf.dummyfunction("""COMPUTED_VALUE"""),2)</f>
        <v>2</v>
      </c>
      <c r="D66" s="0" t="str">
        <f aca="false">IFERROR(__xludf.dummyfunction("""COMPUTED_VALUE"""),"AICI201805-24-1| A1: Gestionar el requerimiento de adquisición de las dotaciones del personal de manera oportuna para su radicación en la Dirección de Contratación de la entidad. - 12/31/2019")</f>
        <v>AICI201805-24-1| A1: Gestionar el requerimiento de adquisición de las dotaciones del personal de manera oportuna para su radicación en la Dirección de Contratación de la entidad. - 12/31/2019</v>
      </c>
      <c r="E66" s="0" t="str">
        <f aca="false">IFERROR(__xludf.dummyfunction("""COMPUTED_VALUE"""),"Se relacionan 171 funcionarios. El contrato 194 de 2019 es por 177 Bonos. El contrato se tramitó con inicio el 5 de julio de 2019. Las fechas establecidas para la entrega de dotación es antes del 30 de abril, 31 de agosto y 31 de diciembre de la vigencia.")</f>
        <v>Se relacionan 171 funcionarios. El contrato 194 de 2019 es por 177 Bonos. El contrato se tramitó con inicio el 5 de julio de 2019. Las fechas establecidas para la entrega de dotación es antes del 30 de abril, 31 de agosto y 31 de diciembre de la vigencia.</v>
      </c>
      <c r="F66" s="0" t="str">
        <f aca="false">IFERROR(__xludf.dummyfunction("""COMPUTED_VALUE"""),"Atrasado")</f>
        <v>Atrasado</v>
      </c>
    </row>
    <row r="67" customFormat="false" ht="14.25" hidden="false" customHeight="false" outlineLevel="0" collapsed="false">
      <c r="A67" s="18" t="str">
        <f aca="false">IFERROR(MID(D67,1,FIND("|",D67)-1)&amp;"-"&amp;C67,"")</f>
        <v>AICI201805-24-2-2</v>
      </c>
      <c r="B67" s="19" t="n">
        <f aca="false">IFERROR(__xludf.dummyfunction("""COMPUTED_VALUE"""),43703)</f>
        <v>43703</v>
      </c>
      <c r="C67" s="0" t="n">
        <f aca="false">IFERROR(__xludf.dummyfunction("""COMPUTED_VALUE"""),2)</f>
        <v>2</v>
      </c>
      <c r="D67" s="0" t="str">
        <f aca="false">IFERROR(__xludf.dummyfunction("""COMPUTED_VALUE"""),"AICI201805-24-2| A2: Desarrollar las funciones administrativas, técnicas, financieras y contables de supervisión asignadas que permitan la adecuada ejecución del contrato de bienes y servicios para la adquisición de las dotaciones del personal. - 12/31/20"&amp;"19")</f>
        <v>AICI201805-24-2| A2: Desarrollar las funciones administrativas, técnicas, financieras y contables de supervisión asignadas que permitan la adecuada ejecución del contrato de bienes y servicios para la adquisición de las dotaciones del personal. - 12/31/2019</v>
      </c>
      <c r="E67" s="0" t="str">
        <f aca="false">IFERROR(__xludf.dummyfunction("""COMPUTED_VALUE"""),"El certificado de Registro Presupuestal es del 4 de julio de 2019. El contrato tiene fecha de inicio 5 de julio de 2019. La factura EA 289537 tiene fecha de julio 25 de 2019, por 171 Vales con la empresa Big Pass Endenred. No hay evidencia del cumplimient"&amp;"o de entregas en las fechas establecidas.")</f>
        <v>El certificado de Registro Presupuestal es del 4 de julio de 2019. El contrato tiene fecha de inicio 5 de julio de 2019. La factura EA 289537 tiene fecha de julio 25 de 2019, por 171 Vales con la empresa Big Pass Endenred. No hay evidencia del cumplimiento de entregas en las fechas establecidas.</v>
      </c>
      <c r="F67" s="0" t="str">
        <f aca="false">IFERROR(__xludf.dummyfunction("""COMPUTED_VALUE"""),"Atrasado")</f>
        <v>Atrasado</v>
      </c>
    </row>
    <row r="68" customFormat="false" ht="14.25" hidden="false" customHeight="false" outlineLevel="0" collapsed="false">
      <c r="A68" s="18" t="str">
        <f aca="false">IFERROR(MID(D68,1,FIND("|",D68)-1)&amp;"-"&amp;C68,"")</f>
        <v>AICI201805-25-1-2</v>
      </c>
      <c r="B68" s="19" t="n">
        <f aca="false">IFERROR(__xludf.dummyfunction("""COMPUTED_VALUE"""),43703)</f>
        <v>43703</v>
      </c>
      <c r="C68" s="0" t="n">
        <f aca="false">IFERROR(__xludf.dummyfunction("""COMPUTED_VALUE"""),2)</f>
        <v>2</v>
      </c>
      <c r="D68" s="0" t="str">
        <f aca="false">IFERROR(__xludf.dummyfunction("""COMPUTED_VALUE"""),"AICI201805-25-1| A1: Gestionar el requerimiento de adquisición de las dotaciones del personal de manera oportuna para su radicación en la Dirección de Contratación de la entidad. - 12/31/2019")</f>
        <v>AICI201805-25-1| A1: Gestionar el requerimiento de adquisición de las dotaciones del personal de manera oportuna para su radicación en la Dirección de Contratación de la entidad. - 12/31/2019</v>
      </c>
      <c r="E68" s="0" t="str">
        <f aca="false">IFERROR(__xludf.dummyfunction("""COMPUTED_VALUE"""),"Se evidencia la fecha del certificado de disponibilidad presupuestal No. 961 del 17 de mayo de 2019 y la primera entrega debe ser antes del 30 de abril.")</f>
        <v>Se evidencia la fecha del certificado de disponibilidad presupuestal No. 961 del 17 de mayo de 2019 y la primera entrega debe ser antes del 30 de abril.</v>
      </c>
      <c r="F68" s="0" t="str">
        <f aca="false">IFERROR(__xludf.dummyfunction("""COMPUTED_VALUE"""),"Atrasado")</f>
        <v>Atrasado</v>
      </c>
    </row>
    <row r="69" customFormat="false" ht="14.25" hidden="false" customHeight="false" outlineLevel="0" collapsed="false">
      <c r="A69" s="18" t="str">
        <f aca="false">IFERROR(MID(D69,1,FIND("|",D69)-1)&amp;"-"&amp;C69,"")</f>
        <v>AICI201805-25-2-2</v>
      </c>
      <c r="B69" s="19" t="n">
        <f aca="false">IFERROR(__xludf.dummyfunction("""COMPUTED_VALUE"""),43703)</f>
        <v>43703</v>
      </c>
      <c r="C69" s="0" t="n">
        <f aca="false">IFERROR(__xludf.dummyfunction("""COMPUTED_VALUE"""),2)</f>
        <v>2</v>
      </c>
      <c r="D69" s="0" t="str">
        <f aca="false">IFERROR(__xludf.dummyfunction("""COMPUTED_VALUE"""),"AICI201805-25-2| A2: Desarrollar las funciones administrativas, técnicas, financieras y contables de supervisión asignadas que permitan la adecuada ejecución del contrato de bienes y servicios para la adquisición de las dotaciones del personal. - 12/31/20"&amp;"19")</f>
        <v>AICI201805-25-2| A2: Desarrollar las funciones administrativas, técnicas, financieras y contables de supervisión asignadas que permitan la adecuada ejecución del contrato de bienes y servicios para la adquisición de las dotaciones del personal. - 12/31/2019</v>
      </c>
      <c r="E69" s="0" t="str">
        <f aca="false">IFERROR(__xludf.dummyfunction("""COMPUTED_VALUE"""),"La legalización del proceso de contratación y entrega se ha efectuado de manera tardía, incumpliendo las fechas establecidas por la normatividad vigente.")</f>
        <v>La legalización del proceso de contratación y entrega se ha efectuado de manera tardía, incumpliendo las fechas establecidas por la normatividad vigente.</v>
      </c>
      <c r="F69" s="0" t="str">
        <f aca="false">IFERROR(__xludf.dummyfunction("""COMPUTED_VALUE"""),"Atrasado")</f>
        <v>Atrasado</v>
      </c>
    </row>
    <row r="70" customFormat="false" ht="14.25" hidden="false" customHeight="false" outlineLevel="0" collapsed="false">
      <c r="A70" s="18" t="str">
        <f aca="false">IFERROR(MID(D70,1,FIND("|",D70)-1)&amp;"-"&amp;C70,"")</f>
        <v>AICI201805-26-1-2</v>
      </c>
      <c r="B70" s="19" t="n">
        <f aca="false">IFERROR(__xludf.dummyfunction("""COMPUTED_VALUE"""),43703)</f>
        <v>43703</v>
      </c>
      <c r="C70" s="0" t="n">
        <f aca="false">IFERROR(__xludf.dummyfunction("""COMPUTED_VALUE"""),2)</f>
        <v>2</v>
      </c>
      <c r="D70" s="0" t="str">
        <f aca="false">IFERROR(__xludf.dummyfunction("""COMPUTED_VALUE"""),"AICI201805-26-1| A1: Exponer claramente las motivaciones que se presentan para generar un cambio de condiciones iniciales que conlleven a la suscripción de una modificación del plazo inicialmente pactado de un contrato. - 12/31/2019")</f>
        <v>AICI201805-26-1| A1: Exponer claramente las motivaciones que se presentan para generar un cambio de condiciones iniciales que conlleven a la suscripción de una modificación del plazo inicialmente pactado de un contrato. - 12/31/2019</v>
      </c>
      <c r="E70" s="0" t="str">
        <f aca="false">IFERROR(__xludf.dummyfunction("""COMPUTED_VALUE"""),"Se recomienda tener en cuenta las observaciones hechas en el proceso de auditoria")</f>
        <v>Se recomienda tener en cuenta las observaciones hechas en el proceso de auditoria</v>
      </c>
      <c r="F70" s="0" t="str">
        <f aca="false">IFERROR(__xludf.dummyfunction("""COMPUTED_VALUE"""),"En desarrollo")</f>
        <v>En desarrollo</v>
      </c>
    </row>
    <row r="71" customFormat="false" ht="14.25" hidden="false" customHeight="false" outlineLevel="0" collapsed="false">
      <c r="A71" s="18" t="str">
        <f aca="false">IFERROR(MID(D71,1,FIND("|",D71)-1)&amp;"-"&amp;C71,"")</f>
        <v>AICI201805-26-2-2</v>
      </c>
      <c r="B71" s="19" t="n">
        <f aca="false">IFERROR(__xludf.dummyfunction("""COMPUTED_VALUE"""),43703)</f>
        <v>43703</v>
      </c>
      <c r="C71" s="0" t="n">
        <f aca="false">IFERROR(__xludf.dummyfunction("""COMPUTED_VALUE"""),2)</f>
        <v>2</v>
      </c>
      <c r="D71" s="0" t="str">
        <f aca="false">IFERROR(__xludf.dummyfunction("""COMPUTED_VALUE"""),"AICI201805-26-2| A2: Diligenciar claramente el formato de solicitud de modificación del contrato y documentar si es necesario mediante anexos, la motivación de dicha modificación. - 12/31/2019")</f>
        <v>AICI201805-26-2| A2: Diligenciar claramente el formato de solicitud de modificación del contrato y documentar si es necesario mediante anexos, la motivación de dicha modificación. - 12/31/2019</v>
      </c>
      <c r="E71" s="0" t="str">
        <f aca="false">IFERROR(__xludf.dummyfunction("""COMPUTED_VALUE"""),"Se recomienda tener en cuenta las observaciones hechas en el proceso de auditoria")</f>
        <v>Se recomienda tener en cuenta las observaciones hechas en el proceso de auditoria</v>
      </c>
      <c r="F71" s="0" t="str">
        <f aca="false">IFERROR(__xludf.dummyfunction("""COMPUTED_VALUE"""),"En desarrollo")</f>
        <v>En desarrollo</v>
      </c>
    </row>
    <row r="72" customFormat="false" ht="14.25" hidden="false" customHeight="false" outlineLevel="0" collapsed="false">
      <c r="A72" s="18" t="str">
        <f aca="false">IFERROR(MID(D72,1,FIND("|",D72)-1)&amp;"-"&amp;C72,"")</f>
        <v>AICI201805-26-3-2</v>
      </c>
      <c r="B72" s="19" t="n">
        <f aca="false">IFERROR(__xludf.dummyfunction("""COMPUTED_VALUE"""),43703)</f>
        <v>43703</v>
      </c>
      <c r="C72" s="0" t="n">
        <f aca="false">IFERROR(__xludf.dummyfunction("""COMPUTED_VALUE"""),2)</f>
        <v>2</v>
      </c>
      <c r="D72" s="0" t="str">
        <f aca="false">IFERROR(__xludf.dummyfunction("""COMPUTED_VALUE"""),"AICI201805-26-3| A3: Remitir a la Dirección de Contratación junto con la solicitud de OTROSI de contrato los soportes suficientes que acrediten la necesidad y aporbación de la modificación. - 12/31/2019")</f>
        <v>AICI201805-26-3| A3: Remitir a la Dirección de Contratación junto con la solicitud de OTROSI de contrato los soportes suficientes que acrediten la necesidad y aporbación de la modificación. - 12/31/2019</v>
      </c>
      <c r="E72" s="0" t="str">
        <f aca="false">IFERROR(__xludf.dummyfunction("""COMPUTED_VALUE"""),"Se recomienda tener en cuenta las observaciones hechas en el proceso de auditoria")</f>
        <v>Se recomienda tener en cuenta las observaciones hechas en el proceso de auditoria</v>
      </c>
      <c r="F72" s="0" t="str">
        <f aca="false">IFERROR(__xludf.dummyfunction("""COMPUTED_VALUE"""),"En desarrollo")</f>
        <v>En desarrollo</v>
      </c>
    </row>
    <row r="73" customFormat="false" ht="14.25" hidden="false" customHeight="false" outlineLevel="0" collapsed="false">
      <c r="A73" s="18" t="str">
        <f aca="false">IFERROR(MID(D73,1,FIND("|",D73)-1)&amp;"-"&amp;C73,"")</f>
        <v>AICI201805-27-1-2</v>
      </c>
      <c r="B73" s="19" t="n">
        <f aca="false">IFERROR(__xludf.dummyfunction("""COMPUTED_VALUE"""),43703)</f>
        <v>43703</v>
      </c>
      <c r="C73" s="0" t="n">
        <f aca="false">IFERROR(__xludf.dummyfunction("""COMPUTED_VALUE"""),2)</f>
        <v>2</v>
      </c>
      <c r="D73" s="0" t="str">
        <f aca="false">IFERROR(__xludf.dummyfunction("""COMPUTED_VALUE"""),"AICI201805-27-1| A1: Exponer claramente las motivaciones que se presentan para generar un cambio de condiciones iniciales que conlleven a la suscripción de una modificación del plazo inicialmente pactado de un contrato. - 12/31/2019")</f>
        <v>AICI201805-27-1| A1: Exponer claramente las motivaciones que se presentan para generar un cambio de condiciones iniciales que conlleven a la suscripción de una modificación del plazo inicialmente pactado de un contrato. - 12/31/2019</v>
      </c>
      <c r="E73" s="0" t="str">
        <f aca="false">IFERROR(__xludf.dummyfunction("""COMPUTED_VALUE"""),"Se recomienda tener en cuenta las observaciones hechas en el proceso de auditoria.")</f>
        <v>Se recomienda tener en cuenta las observaciones hechas en el proceso de auditoria.</v>
      </c>
      <c r="F73" s="0" t="str">
        <f aca="false">IFERROR(__xludf.dummyfunction("""COMPUTED_VALUE"""),"En desarrollo")</f>
        <v>En desarrollo</v>
      </c>
    </row>
    <row r="74" customFormat="false" ht="14.25" hidden="false" customHeight="false" outlineLevel="0" collapsed="false">
      <c r="A74" s="18" t="str">
        <f aca="false">IFERROR(MID(D74,1,FIND("|",D74)-1)&amp;"-"&amp;C74,"")</f>
        <v>AICI201805-27-2-2</v>
      </c>
      <c r="B74" s="19" t="n">
        <f aca="false">IFERROR(__xludf.dummyfunction("""COMPUTED_VALUE"""),43703)</f>
        <v>43703</v>
      </c>
      <c r="C74" s="0" t="n">
        <f aca="false">IFERROR(__xludf.dummyfunction("""COMPUTED_VALUE"""),2)</f>
        <v>2</v>
      </c>
      <c r="D74" s="0" t="str">
        <f aca="false">IFERROR(__xludf.dummyfunction("""COMPUTED_VALUE"""),"AICI201805-27-2| A2: Diligenciar claramente el formato de solicitud de modificación del contrato y documentar si es necesario mediante anexos, la motivación de dicha modificación. - 12/31/2019")</f>
        <v>AICI201805-27-2| A2: Diligenciar claramente el formato de solicitud de modificación del contrato y documentar si es necesario mediante anexos, la motivación de dicha modificación. - 12/31/2019</v>
      </c>
      <c r="E74" s="0" t="str">
        <f aca="false">IFERROR(__xludf.dummyfunction("""COMPUTED_VALUE"""),"Se recomienda tener en cuenta las observaciones hechas en el proceso de auditoria.")</f>
        <v>Se recomienda tener en cuenta las observaciones hechas en el proceso de auditoria.</v>
      </c>
      <c r="F74" s="0" t="str">
        <f aca="false">IFERROR(__xludf.dummyfunction("""COMPUTED_VALUE"""),"En desarrollo")</f>
        <v>En desarrollo</v>
      </c>
    </row>
    <row r="75" customFormat="false" ht="14.25" hidden="false" customHeight="false" outlineLevel="0" collapsed="false">
      <c r="A75" s="18" t="str">
        <f aca="false">IFERROR(MID(D75,1,FIND("|",D75)-1)&amp;"-"&amp;C75,"")</f>
        <v>AICI201805-27-3-2</v>
      </c>
      <c r="B75" s="19" t="n">
        <f aca="false">IFERROR(__xludf.dummyfunction("""COMPUTED_VALUE"""),43703)</f>
        <v>43703</v>
      </c>
      <c r="C75" s="0" t="n">
        <f aca="false">IFERROR(__xludf.dummyfunction("""COMPUTED_VALUE"""),2)</f>
        <v>2</v>
      </c>
      <c r="D75" s="0" t="str">
        <f aca="false">IFERROR(__xludf.dummyfunction("""COMPUTED_VALUE"""),"AICI201805-27-3| A3: Remitir a la Dirección de Contratación junto con la solicitud de OTROSI de contrato los soportes suficientes que acrediten la necesidad y aprobación de la modificación. - 12/31/2019")</f>
        <v>AICI201805-27-3| A3: Remitir a la Dirección de Contratación junto con la solicitud de OTROSI de contrato los soportes suficientes que acrediten la necesidad y aprobación de la modificación. - 12/31/2019</v>
      </c>
      <c r="E75" s="0" t="str">
        <f aca="false">IFERROR(__xludf.dummyfunction("""COMPUTED_VALUE"""),"Se recomienda tener en cuenta las observaciones hechas en el proceso de auditoria.")</f>
        <v>Se recomienda tener en cuenta las observaciones hechas en el proceso de auditoria.</v>
      </c>
      <c r="F75" s="0" t="str">
        <f aca="false">IFERROR(__xludf.dummyfunction("""COMPUTED_VALUE"""),"En desarrollo")</f>
        <v>En desarrollo</v>
      </c>
    </row>
    <row r="76" customFormat="false" ht="14.25" hidden="false" customHeight="false" outlineLevel="0" collapsed="false">
      <c r="A76" s="18" t="str">
        <f aca="false">IFERROR(MID(D76,1,FIND("|",D76)-1)&amp;"-"&amp;C76,"")</f>
        <v>AICI201805-28-1-2</v>
      </c>
      <c r="B76" s="19" t="n">
        <f aca="false">IFERROR(__xludf.dummyfunction("""COMPUTED_VALUE"""),43703)</f>
        <v>43703</v>
      </c>
      <c r="C76" s="0" t="n">
        <f aca="false">IFERROR(__xludf.dummyfunction("""COMPUTED_VALUE"""),2)</f>
        <v>2</v>
      </c>
      <c r="D76" s="0" t="str">
        <f aca="false">IFERROR(__xludf.dummyfunction("""COMPUTED_VALUE"""),"AICI201805-28-1| A1: Diligenciar claramente el formato de solicitud de modificación del contrato y documentar si es necesario mediante anexos, la descripción de dicha modificación para la elaboración de la minuta correspondiente. - 12/31/2019")</f>
        <v>AICI201805-28-1| A1: Diligenciar claramente el formato de solicitud de modificación del contrato y documentar si es necesario mediante anexos, la descripción de dicha modificación para la elaboración de la minuta correspondiente. - 12/31/2019</v>
      </c>
      <c r="E76" s="0" t="str">
        <f aca="false">IFERROR(__xludf.dummyfunction("""COMPUTED_VALUE"""),"Se recomienda tener en cuenta las observaciones hechas en el proceso de auditoria.")</f>
        <v>Se recomienda tener en cuenta las observaciones hechas en el proceso de auditoria.</v>
      </c>
      <c r="F76" s="0" t="str">
        <f aca="false">IFERROR(__xludf.dummyfunction("""COMPUTED_VALUE"""),"En desarrollo")</f>
        <v>En desarrollo</v>
      </c>
    </row>
    <row r="77" customFormat="false" ht="14.25" hidden="false" customHeight="false" outlineLevel="0" collapsed="false">
      <c r="A77" s="18" t="str">
        <f aca="false">IFERROR(MID(D77,1,FIND("|",D77)-1)&amp;"-"&amp;C77,"")</f>
        <v>AICI201805-29-1-2</v>
      </c>
      <c r="B77" s="19" t="n">
        <f aca="false">IFERROR(__xludf.dummyfunction("""COMPUTED_VALUE"""),43703)</f>
        <v>43703</v>
      </c>
      <c r="C77" s="0" t="n">
        <f aca="false">IFERROR(__xludf.dummyfunction("""COMPUTED_VALUE"""),2)</f>
        <v>2</v>
      </c>
      <c r="D77" s="0" t="str">
        <f aca="false">IFERROR(__xludf.dummyfunction("""COMPUTED_VALUE"""),"AICI201805-29-1| Elaborar una circular interna que establezca los mecanismos de control del uso de la dotación de acuerdo a cada perfiel ocupacional de los funcionarios que reciben el beneficio. - 6/30/2019")</f>
        <v>AICI201805-29-1| Elaborar una circular interna que establezca los mecanismos de control del uso de la dotación de acuerdo a cada perfiel ocupacional de los funcionarios que reciben el beneficio. - 6/30/2019</v>
      </c>
      <c r="E77" s="0" t="str">
        <f aca="false">IFERROR(__xludf.dummyfunction("""COMPUTED_VALUE"""),"Continua la misma situación de que no se realiza verificación del completo y correcto uso de las prendas de labor por parte de los funcionarios, correspondiente a su dotación de ley. No se anexa la circular interna propuesta en la acción.")</f>
        <v>Continua la misma situación de que no se realiza verificación del completo y correcto uso de las prendas de labor por parte de los funcionarios, correspondiente a su dotación de ley. No se anexa la circular interna propuesta en la acción.</v>
      </c>
      <c r="F77" s="0" t="str">
        <f aca="false">IFERROR(__xludf.dummyfunction("""COMPUTED_VALUE"""),"Atrasado")</f>
        <v>Atrasado</v>
      </c>
    </row>
    <row r="78" customFormat="false" ht="14.25" hidden="false" customHeight="false" outlineLevel="0" collapsed="false">
      <c r="A78" s="18" t="str">
        <f aca="false">IFERROR(MID(D78,1,FIND("|",D78)-1)&amp;"-"&amp;C78,"")</f>
        <v>AICI201805-1-1-3</v>
      </c>
      <c r="B78" s="19" t="n">
        <f aca="false">IFERROR(__xludf.dummyfunction("""COMPUTED_VALUE"""),43858)</f>
        <v>43858</v>
      </c>
      <c r="C78" s="0" t="n">
        <f aca="false">IFERROR(__xludf.dummyfunction("""COMPUTED_VALUE"""),3)</f>
        <v>3</v>
      </c>
      <c r="D78" s="0" t="str">
        <f aca="false">IFERROR(__xludf.dummyfunction("""COMPUTED_VALUE"""),"AICI201805-1-1| Elaborar los instructivos de Liquidación y pago de nómina y Autoliquidación de planilla única de seguridad social y parafiscales y realizar la normalizacion del mismo. - 3/31/2019")</f>
        <v>AICI201805-1-1| Elaborar los instructivos de Liquidación y pago de nómina y Autoliquidación de planilla única de seguridad social y parafiscales y realizar la normalizacion del mismo. - 3/31/2019</v>
      </c>
      <c r="E78" s="0" t="str">
        <f aca="false">IFERROR(__xludf.dummyfunction("""COMPUTED_VALUE"""),"Respuesta completa en el segundo seguimiento")</f>
        <v>Respuesta completa en el segundo seguimiento</v>
      </c>
      <c r="F78" s="0" t="str">
        <f aca="false">IFERROR(__xludf.dummyfunction("""COMPUTED_VALUE"""),"Completo")</f>
        <v>Completo</v>
      </c>
    </row>
    <row r="79" customFormat="false" ht="14.25" hidden="false" customHeight="false" outlineLevel="0" collapsed="false">
      <c r="A79" s="18" t="str">
        <f aca="false">IFERROR(MID(D79,1,FIND("|",D79)-1)&amp;"-"&amp;C79,"")</f>
        <v>AICI201805-10-4-3</v>
      </c>
      <c r="B79" s="19" t="n">
        <f aca="false">IFERROR(__xludf.dummyfunction("""COMPUTED_VALUE"""),43858)</f>
        <v>43858</v>
      </c>
      <c r="C79" s="0" t="n">
        <f aca="false">IFERROR(__xludf.dummyfunction("""COMPUTED_VALUE"""),3)</f>
        <v>3</v>
      </c>
      <c r="D79" s="0" t="str">
        <f aca="false">IFERROR(__xludf.dummyfunction("""COMPUTED_VALUE"""),"AICI201805-10-4| A4: Desarollar la gestión de depuración de saldos de los recursos del Sistema General de Participaciones. - 9/30/2019")</f>
        <v>AICI201805-10-4| A4: Desarollar la gestión de depuración de saldos de los recursos del Sistema General de Participaciones. - 9/30/2019</v>
      </c>
      <c r="E79" s="0" t="str">
        <f aca="false">IFERROR(__xludf.dummyfunction("""COMPUTED_VALUE"""),"Respuesta completa en el segundo seguimiento")</f>
        <v>Respuesta completa en el segundo seguimiento</v>
      </c>
      <c r="F79" s="0" t="str">
        <f aca="false">IFERROR(__xludf.dummyfunction("""COMPUTED_VALUE"""),"Completo")</f>
        <v>Completo</v>
      </c>
    </row>
    <row r="80" customFormat="false" ht="14.25" hidden="false" customHeight="false" outlineLevel="0" collapsed="false">
      <c r="A80" s="18" t="str">
        <f aca="false">IFERROR(MID(D80,1,FIND("|",D80)-1)&amp;"-"&amp;C80,"")</f>
        <v>AICI201805-18-1-3</v>
      </c>
      <c r="B80" s="19" t="n">
        <f aca="false">IFERROR(__xludf.dummyfunction("""COMPUTED_VALUE"""),43858)</f>
        <v>43858</v>
      </c>
      <c r="C80" s="0" t="n">
        <f aca="false">IFERROR(__xludf.dummyfunction("""COMPUTED_VALUE"""),3)</f>
        <v>3</v>
      </c>
      <c r="D80" s="0" t="str">
        <f aca="false">IFERROR(__xludf.dummyfunction("""COMPUTED_VALUE"""),"AICI201805-18-1| A1: Elevar citación a los representantes de trabajadores y representantes de la entidad para celebración de reunión del Comité Paritario de Seguridad y Salud en el Trabajo de la Subred Norte E.S.E., conforme a lo señalado en la Resolución"&amp;" No. 0051 de 2017 - Artículos Quinto y Séptimo de la Resolución No. 0051 de 2017. - 12/31/2019")</f>
        <v>AICI201805-18-1| A1: Elevar citación a los representantes de trabajadores y representantes de la entidad para celebración de reunión del Comité Paritario de Seguridad y Salud en el Trabajo de la Subred Norte E.S.E., conforme a lo señalado en la Resolución No. 0051 de 2017 - Artículos Quinto y Séptimo de la Resolución No. 0051 de 2017. - 12/31/2019</v>
      </c>
      <c r="E80" s="0" t="str">
        <f aca="false">IFERROR(__xludf.dummyfunction("""COMPUTED_VALUE"""),"Respuesta completa en el segundo seguimiento")</f>
        <v>Respuesta completa en el segundo seguimiento</v>
      </c>
      <c r="F80" s="0" t="str">
        <f aca="false">IFERROR(__xludf.dummyfunction("""COMPUTED_VALUE"""),"Completo")</f>
        <v>Completo</v>
      </c>
    </row>
    <row r="81" customFormat="false" ht="14.25" hidden="false" customHeight="false" outlineLevel="0" collapsed="false">
      <c r="A81" s="18" t="str">
        <f aca="false">IFERROR(MID(D81,1,FIND("|",D81)-1)&amp;"-"&amp;C81,"")</f>
        <v>AICI201805-19-1-3</v>
      </c>
      <c r="B81" s="19" t="n">
        <f aca="false">IFERROR(__xludf.dummyfunction("""COMPUTED_VALUE"""),43858)</f>
        <v>43858</v>
      </c>
      <c r="C81" s="0" t="n">
        <f aca="false">IFERROR(__xludf.dummyfunction("""COMPUTED_VALUE"""),3)</f>
        <v>3</v>
      </c>
      <c r="D81" s="0" t="str">
        <f aca="false">IFERROR(__xludf.dummyfunction("""COMPUTED_VALUE"""),"AICI201805-19-1| Establecer en el acto administrativo de conformación del COPASST para la vigencia 2019-2021, el articulado que definira la participacion del lider o profesional a cargo del SGSST de la entidad. - 03/30/0219")</f>
        <v>AICI201805-19-1| Establecer en el acto administrativo de conformación del COPASST para la vigencia 2019-2021, el articulado que definira la participacion del lider o profesional a cargo del SGSST de la entidad. - 03/30/0219</v>
      </c>
      <c r="E81" s="0" t="str">
        <f aca="false">IFERROR(__xludf.dummyfunction("""COMPUTED_VALUE"""),"Respuesta completa en el segundo seguimiento")</f>
        <v>Respuesta completa en el segundo seguimiento</v>
      </c>
      <c r="F81" s="0" t="str">
        <f aca="false">IFERROR(__xludf.dummyfunction("""COMPUTED_VALUE"""),"Completo")</f>
        <v>Completo</v>
      </c>
    </row>
    <row r="82" customFormat="false" ht="14.25" hidden="false" customHeight="false" outlineLevel="0" collapsed="false">
      <c r="A82" s="18" t="str">
        <f aca="false">IFERROR(MID(D82,1,FIND("|",D82)-1)&amp;"-"&amp;C82,"")</f>
        <v>AICI201805-20-1-3</v>
      </c>
      <c r="B82" s="19" t="n">
        <f aca="false">IFERROR(__xludf.dummyfunction("""COMPUTED_VALUE"""),43858)</f>
        <v>43858</v>
      </c>
      <c r="C82" s="0" t="n">
        <f aca="false">IFERROR(__xludf.dummyfunction("""COMPUTED_VALUE"""),3)</f>
        <v>3</v>
      </c>
      <c r="D82" s="0" t="str">
        <f aca="false">IFERROR(__xludf.dummyfunction("""COMPUTED_VALUE"""),"AICI201805-20-1| A1: Realizar lectura del acta de reunión anterior con el fin de realizar verificación de cumplimiento y/o avance de los compromisos y tareas definidas por el Comité. - 12/31/2019")</f>
        <v>AICI201805-20-1| A1: Realizar lectura del acta de reunión anterior con el fin de realizar verificación de cumplimiento y/o avance de los compromisos y tareas definidas por el Comité. - 12/31/2019</v>
      </c>
      <c r="E82" s="0" t="str">
        <f aca="false">IFERROR(__xludf.dummyfunction("""COMPUTED_VALUE"""),"Respuesta completa en el segundo seguimiento")</f>
        <v>Respuesta completa en el segundo seguimiento</v>
      </c>
      <c r="F82" s="0" t="str">
        <f aca="false">IFERROR(__xludf.dummyfunction("""COMPUTED_VALUE"""),"Completo")</f>
        <v>Completo</v>
      </c>
    </row>
    <row r="83" customFormat="false" ht="14.25" hidden="false" customHeight="false" outlineLevel="0" collapsed="false">
      <c r="A83" s="18" t="str">
        <f aca="false">IFERROR(MID(D83,1,FIND("|",D83)-1)&amp;"-"&amp;C83,"")</f>
        <v>AICI201805-20-1-3</v>
      </c>
      <c r="B83" s="19" t="n">
        <f aca="false">IFERROR(__xludf.dummyfunction("""COMPUTED_VALUE"""),43858)</f>
        <v>43858</v>
      </c>
      <c r="C83" s="0" t="n">
        <f aca="false">IFERROR(__xludf.dummyfunction("""COMPUTED_VALUE"""),3)</f>
        <v>3</v>
      </c>
      <c r="D83" s="0" t="str">
        <f aca="false">IFERROR(__xludf.dummyfunction("""COMPUTED_VALUE"""),"AICI201805-20-1| A2: Consignar en las actas de reunión el cumplimiento y/o avance de los compromisos y tareas definidas que evidencien el seguimiento efectuado por los miembros del Comité. - 12/31/2019")</f>
        <v>AICI201805-20-1| A2: Consignar en las actas de reunión el cumplimiento y/o avance de los compromisos y tareas definidas que evidencien el seguimiento efectuado por los miembros del Comité. - 12/31/2019</v>
      </c>
      <c r="E83" s="0" t="str">
        <f aca="false">IFERROR(__xludf.dummyfunction("""COMPUTED_VALUE"""),"Respuesta completa en el segundo seguimiento")</f>
        <v>Respuesta completa en el segundo seguimiento</v>
      </c>
      <c r="F83" s="0" t="str">
        <f aca="false">IFERROR(__xludf.dummyfunction("""COMPUTED_VALUE"""),"Completo")</f>
        <v>Completo</v>
      </c>
    </row>
    <row r="84" customFormat="false" ht="14.25" hidden="false" customHeight="false" outlineLevel="0" collapsed="false">
      <c r="A84" s="18" t="str">
        <f aca="false">IFERROR(MID(D84,1,FIND("|",D84)-1)&amp;"-"&amp;C84,"")</f>
        <v>AICI201805-20-1-3</v>
      </c>
      <c r="B84" s="19" t="n">
        <f aca="false">IFERROR(__xludf.dummyfunction("""COMPUTED_VALUE"""),43858)</f>
        <v>43858</v>
      </c>
      <c r="C84" s="0" t="n">
        <f aca="false">IFERROR(__xludf.dummyfunction("""COMPUTED_VALUE"""),3)</f>
        <v>3</v>
      </c>
      <c r="D84" s="0" t="str">
        <f aca="false">IFERROR(__xludf.dummyfunction("""COMPUTED_VALUE"""),"AICI201805-20-1| A2: Consignar en las actas de reunión el cumplimiento y/o avance de los compromisos y tareas definidas que evidencien el seguimiento efectuado por los miembros del Comité. - 12/31/2019")</f>
        <v>AICI201805-20-1| A2: Consignar en las actas de reunión el cumplimiento y/o avance de los compromisos y tareas definidas que evidencien el seguimiento efectuado por los miembros del Comité. - 12/31/2019</v>
      </c>
      <c r="E84" s="0" t="str">
        <f aca="false">IFERROR(__xludf.dummyfunction("""COMPUTED_VALUE"""),"Respuesta completa en el segundo seguimiento")</f>
        <v>Respuesta completa en el segundo seguimiento</v>
      </c>
      <c r="F84" s="0" t="str">
        <f aca="false">IFERROR(__xludf.dummyfunction("""COMPUTED_VALUE"""),"Completo")</f>
        <v>Completo</v>
      </c>
    </row>
    <row r="85" customFormat="false" ht="14.25" hidden="false" customHeight="false" outlineLevel="0" collapsed="false">
      <c r="A85" s="18" t="str">
        <f aca="false">IFERROR(MID(D85,1,FIND("|",D85)-1)&amp;"-"&amp;C85,"")</f>
        <v>AICI201805-21-1-3</v>
      </c>
      <c r="B85" s="19" t="n">
        <f aca="false">IFERROR(__xludf.dummyfunction("""COMPUTED_VALUE"""),43858)</f>
        <v>43858</v>
      </c>
      <c r="C85" s="0" t="n">
        <f aca="false">IFERROR(__xludf.dummyfunction("""COMPUTED_VALUE"""),3)</f>
        <v>3</v>
      </c>
      <c r="D85" s="0" t="str">
        <f aca="false">IFERROR(__xludf.dummyfunction("""COMPUTED_VALUE"""),"AICI201805-21-1| A1: Establecer clara y completamente el orden del día a tratar durante la sesión del Comité Paritario de Seguridad y Salud en el Trabajo de la Subred Norte E.S.E. - 12/31/2019")</f>
        <v>AICI201805-21-1| A1: Establecer clara y completamente el orden del día a tratar durante la sesión del Comité Paritario de Seguridad y Salud en el Trabajo de la Subred Norte E.S.E. - 12/31/2019</v>
      </c>
      <c r="E85" s="0" t="str">
        <f aca="false">IFERROR(__xludf.dummyfunction("""COMPUTED_VALUE"""),"Respuesta completa en el segundo seguimiento")</f>
        <v>Respuesta completa en el segundo seguimiento</v>
      </c>
      <c r="F85" s="0" t="str">
        <f aca="false">IFERROR(__xludf.dummyfunction("""COMPUTED_VALUE"""),"Completo")</f>
        <v>Completo</v>
      </c>
    </row>
    <row r="86" customFormat="false" ht="14.25" hidden="false" customHeight="false" outlineLevel="0" collapsed="false">
      <c r="A86" s="18" t="str">
        <f aca="false">IFERROR(MID(D86,1,FIND("|",D86)-1)&amp;"-"&amp;C86,"")</f>
        <v>AICI201805-21-1-3</v>
      </c>
      <c r="B86" s="19" t="n">
        <f aca="false">IFERROR(__xludf.dummyfunction("""COMPUTED_VALUE"""),43858)</f>
        <v>43858</v>
      </c>
      <c r="C86" s="0" t="n">
        <f aca="false">IFERROR(__xludf.dummyfunction("""COMPUTED_VALUE"""),3)</f>
        <v>3</v>
      </c>
      <c r="D86" s="0" t="str">
        <f aca="false">IFERROR(__xludf.dummyfunction("""COMPUTED_VALUE"""),"AICI201805-21-1| A2: Consignar en las actas de reunión el cumplimiento y/o avance de los compromisos y tareas definidas que evidencien las decisiones tomadas por los miembros del Comité y el efectivo seguimiento de los mismos. - 12/31/2019")</f>
        <v>AICI201805-21-1| A2: Consignar en las actas de reunión el cumplimiento y/o avance de los compromisos y tareas definidas que evidencien las decisiones tomadas por los miembros del Comité y el efectivo seguimiento de los mismos. - 12/31/2019</v>
      </c>
      <c r="E86" s="0" t="str">
        <f aca="false">IFERROR(__xludf.dummyfunction("""COMPUTED_VALUE"""),"Respuesta completa en el segundo seguimiento")</f>
        <v>Respuesta completa en el segundo seguimiento</v>
      </c>
      <c r="F86" s="0" t="str">
        <f aca="false">IFERROR(__xludf.dummyfunction("""COMPUTED_VALUE"""),"Completo")</f>
        <v>Completo</v>
      </c>
    </row>
    <row r="87" customFormat="false" ht="14.25" hidden="false" customHeight="false" outlineLevel="0" collapsed="false">
      <c r="A87" s="18" t="str">
        <f aca="false">IFERROR(MID(D87,1,FIND("|",D87)-1)&amp;"-"&amp;C87,"")</f>
        <v>AICI201805-22-1-3</v>
      </c>
      <c r="B87" s="19" t="n">
        <f aca="false">IFERROR(__xludf.dummyfunction("""COMPUTED_VALUE"""),43858)</f>
        <v>43858</v>
      </c>
      <c r="C87" s="0" t="n">
        <f aca="false">IFERROR(__xludf.dummyfunction("""COMPUTED_VALUE"""),3)</f>
        <v>3</v>
      </c>
      <c r="D87" s="0" t="str">
        <f aca="false">IFERROR(__xludf.dummyfunction("""COMPUTED_VALUE"""),"AICI201805-22-1| Consignar en las actas de reunión el cumplimiento de los compromisos y decisiones tomadas por los miembros del Comité y el efectivo cumplimiento de los mismos. - 12/31/2019")</f>
        <v>AICI201805-22-1| Consignar en las actas de reunión el cumplimiento de los compromisos y decisiones tomadas por los miembros del Comité y el efectivo cumplimiento de los mismos. - 12/31/2019</v>
      </c>
      <c r="E87" s="0" t="str">
        <f aca="false">IFERROR(__xludf.dummyfunction("""COMPUTED_VALUE"""),"Respuesta completa en el segundo seguimiento")</f>
        <v>Respuesta completa en el segundo seguimiento</v>
      </c>
      <c r="F87" s="0" t="str">
        <f aca="false">IFERROR(__xludf.dummyfunction("""COMPUTED_VALUE"""),"Completo")</f>
        <v>Completo</v>
      </c>
    </row>
    <row r="88" customFormat="false" ht="14.25" hidden="false" customHeight="false" outlineLevel="0" collapsed="false">
      <c r="A88" s="18" t="str">
        <f aca="false">IFERROR(MID(D88,1,FIND("|",D88)-1)&amp;"-"&amp;C88,"")</f>
        <v>AICI201805-22-2-3</v>
      </c>
      <c r="B88" s="19" t="n">
        <f aca="false">IFERROR(__xludf.dummyfunction("""COMPUTED_VALUE"""),43858)</f>
        <v>43858</v>
      </c>
      <c r="C88" s="0" t="n">
        <f aca="false">IFERROR(__xludf.dummyfunction("""COMPUTED_VALUE"""),3)</f>
        <v>3</v>
      </c>
      <c r="D88" s="0" t="str">
        <f aca="false">IFERROR(__xludf.dummyfunction("""COMPUTED_VALUE"""),"AICI201805-22-2| Convocar y coordinar la celebración de las sesiones del Comité Paritario de Seguridad y Salud en el Trabajo de la Subred Norte E.S.E. - 12/31/2019")</f>
        <v>AICI201805-22-2| Convocar y coordinar la celebración de las sesiones del Comité Paritario de Seguridad y Salud en el Trabajo de la Subred Norte E.S.E. - 12/31/2019</v>
      </c>
      <c r="E88" s="0" t="str">
        <f aca="false">IFERROR(__xludf.dummyfunction("""COMPUTED_VALUE"""),"Respuesta completa en el segundo seguimiento")</f>
        <v>Respuesta completa en el segundo seguimiento</v>
      </c>
      <c r="F88" s="0" t="str">
        <f aca="false">IFERROR(__xludf.dummyfunction("""COMPUTED_VALUE"""),"Completo")</f>
        <v>Completo</v>
      </c>
    </row>
    <row r="89" customFormat="false" ht="14.25" hidden="false" customHeight="false" outlineLevel="0" collapsed="false">
      <c r="A89" s="18" t="str">
        <f aca="false">IFERROR(MID(D89,1,FIND("|",D89)-1)&amp;"-"&amp;C89,"")</f>
        <v>AICI201805-23-1-3</v>
      </c>
      <c r="B89" s="19" t="n">
        <f aca="false">IFERROR(__xludf.dummyfunction("""COMPUTED_VALUE"""),43858)</f>
        <v>43858</v>
      </c>
      <c r="C89" s="0" t="n">
        <f aca="false">IFERROR(__xludf.dummyfunction("""COMPUTED_VALUE"""),3)</f>
        <v>3</v>
      </c>
      <c r="D89" s="0" t="str">
        <f aca="false">IFERROR(__xludf.dummyfunction("""COMPUTED_VALUE"""),"AICI201805-23-1| A1: Definir los requisitos técnicos requeridos por la entidad para la prestación del servicio o adquisición de bien según corresponda, que permitan la construcción de los términos de referencia o pliegos de condiciones. - 12/31/2019")</f>
        <v>AICI201805-23-1| A1: Definir los requisitos técnicos requeridos por la entidad para la prestación del servicio o adquisición de bien según corresponda, que permitan la construcción de los términos de referencia o pliegos de condiciones. - 12/31/2019</v>
      </c>
      <c r="E89" s="0" t="str">
        <f aca="false">IFERROR(__xludf.dummyfunction("""COMPUTED_VALUE"""),"Respuesta completa en el segundo seguimiento")</f>
        <v>Respuesta completa en el segundo seguimiento</v>
      </c>
      <c r="F89" s="0" t="str">
        <f aca="false">IFERROR(__xludf.dummyfunction("""COMPUTED_VALUE"""),"Completo")</f>
        <v>Completo</v>
      </c>
    </row>
    <row r="90" customFormat="false" ht="14.25" hidden="false" customHeight="false" outlineLevel="0" collapsed="false">
      <c r="A90" s="18" t="str">
        <f aca="false">IFERROR(MID(D90,1,FIND("|",D90)-1)&amp;"-"&amp;C90,"")</f>
        <v>AICI201805-23-2-3</v>
      </c>
      <c r="B90" s="19" t="n">
        <f aca="false">IFERROR(__xludf.dummyfunction("""COMPUTED_VALUE"""),43858)</f>
        <v>43858</v>
      </c>
      <c r="C90" s="0" t="n">
        <f aca="false">IFERROR(__xludf.dummyfunction("""COMPUTED_VALUE"""),3)</f>
        <v>3</v>
      </c>
      <c r="D90" s="0" t="str">
        <f aca="false">IFERROR(__xludf.dummyfunction("""COMPUTED_VALUE"""),"AICI201805-23-2| A2: Establecer los factores de evaluación y modalidad de calificación a emplear (puntajes y/o porcentajes) para el proceso de selección del proveedor contratista, para su inclusión en los términos de referenica o pliego de condiciones. - "&amp;"12/31/2019")</f>
        <v>AICI201805-23-2| A2: Establecer los factores de evaluación y modalidad de calificación a emplear (puntajes y/o porcentajes) para el proceso de selección del proveedor contratista, para su inclusión en los términos de referenica o pliego de condiciones. - 12/31/2019</v>
      </c>
      <c r="E90" s="0" t="str">
        <f aca="false">IFERROR(__xludf.dummyfunction("""COMPUTED_VALUE"""),"Respuesta completa en el segundo seguimiento")</f>
        <v>Respuesta completa en el segundo seguimiento</v>
      </c>
      <c r="F90" s="0" t="str">
        <f aca="false">IFERROR(__xludf.dummyfunction("""COMPUTED_VALUE"""),"Completo")</f>
        <v>Completo</v>
      </c>
    </row>
    <row r="91" customFormat="false" ht="14.25" hidden="false" customHeight="false" outlineLevel="0" collapsed="false">
      <c r="A91" s="18" t="str">
        <f aca="false">IFERROR(MID(D91,1,FIND("|",D91)-1)&amp;"-"&amp;C91,"")</f>
        <v>AICI201805-23-3-3</v>
      </c>
      <c r="B91" s="19" t="n">
        <f aca="false">IFERROR(__xludf.dummyfunction("""COMPUTED_VALUE"""),43858)</f>
        <v>43858</v>
      </c>
      <c r="C91" s="0" t="n">
        <f aca="false">IFERROR(__xludf.dummyfunction("""COMPUTED_VALUE"""),3)</f>
        <v>3</v>
      </c>
      <c r="D91" s="0" t="str">
        <f aca="false">IFERROR(__xludf.dummyfunction("""COMPUTED_VALUE"""),"AICI201805-23-3| A3: Evaluar las propuestas participantes en el proceso de selección conforme a lo señalado en los términos de referencia o pliego de condiciones establecidos. - 12/31/2019")</f>
        <v>AICI201805-23-3| A3: Evaluar las propuestas participantes en el proceso de selección conforme a lo señalado en los términos de referencia o pliego de condiciones establecidos. - 12/31/2019</v>
      </c>
      <c r="E91" s="0" t="str">
        <f aca="false">IFERROR(__xludf.dummyfunction("""COMPUTED_VALUE"""),"Respuesta completa en el segundo seguimiento")</f>
        <v>Respuesta completa en el segundo seguimiento</v>
      </c>
      <c r="F91" s="0" t="str">
        <f aca="false">IFERROR(__xludf.dummyfunction("""COMPUTED_VALUE"""),"Completo")</f>
        <v>Completo</v>
      </c>
    </row>
    <row r="92" customFormat="false" ht="14.25" hidden="false" customHeight="false" outlineLevel="0" collapsed="false">
      <c r="A92" s="18" t="str">
        <f aca="false">IFERROR(MID(D92,1,FIND("|",D92)-1)&amp;"-"&amp;C92,"")</f>
        <v>AICI201805-3-1-3</v>
      </c>
      <c r="B92" s="19" t="n">
        <f aca="false">IFERROR(__xludf.dummyfunction("""COMPUTED_VALUE"""),43858)</f>
        <v>43858</v>
      </c>
      <c r="C92" s="0" t="n">
        <f aca="false">IFERROR(__xludf.dummyfunction("""COMPUTED_VALUE"""),3)</f>
        <v>3</v>
      </c>
      <c r="D92" s="0" t="str">
        <f aca="false">IFERROR(__xludf.dummyfunction("""COMPUTED_VALUE"""),"AICI201805-3-1| A1. Elaborar matriz de seguimiento a las historias laborales de los funcionarios con derecho cesantias retroactivas con el fin de establecer las difernecias que pudieren existir en las liquidaciones parciales que se han realizado a las sol"&amp;"icitudes de los trabajadores. - 9/30/2019")</f>
        <v>AICI201805-3-1| A1. Elaborar matriz de seguimiento a las historias laborales de los funcionarios con derecho cesantias retroactivas con el fin de establecer las difernecias que pudieren existir en las liquidaciones parciales que se han realizado a las solicitudes de los trabajadores. - 9/30/2019</v>
      </c>
      <c r="E92" s="0" t="str">
        <f aca="false">IFERROR(__xludf.dummyfunction("""COMPUTED_VALUE"""),"Se anexó la relación de hojas de vida revisadas y no se reporta ninguna diferencia de valores entre lo liquidado y pagado según los documentos encontrados en la hoja de vida.
")</f>
        <v>Se anexó la relación de hojas de vida revisadas y no se reporta ninguna diferencia de valores entre lo liquidado y pagado según los documentos encontrados en la hoja de vida.
</v>
      </c>
      <c r="F92" s="0" t="str">
        <f aca="false">IFERROR(__xludf.dummyfunction("""COMPUTED_VALUE"""),"Completo")</f>
        <v>Completo</v>
      </c>
    </row>
    <row r="93" customFormat="false" ht="14.25" hidden="false" customHeight="false" outlineLevel="0" collapsed="false">
      <c r="A93" s="18" t="str">
        <f aca="false">IFERROR(MID(D93,1,FIND("|",D93)-1)&amp;"-"&amp;C93,"")</f>
        <v>AICI201805-3-2-3</v>
      </c>
      <c r="B93" s="19" t="n">
        <f aca="false">IFERROR(__xludf.dummyfunction("""COMPUTED_VALUE"""),43858)</f>
        <v>43858</v>
      </c>
      <c r="C93" s="0" t="n">
        <f aca="false">IFERROR(__xludf.dummyfunction("""COMPUTED_VALUE"""),3)</f>
        <v>3</v>
      </c>
      <c r="D93" s="0" t="str">
        <f aca="false">IFERROR(__xludf.dummyfunction("""COMPUTED_VALUE"""),"AICI201805-3-2| A2. Implementar puntos de control que permitan la verificación de la liquidación emitida (como minimo un tecnico en nómina diferente al liquidador y un profesional de la Dirección de Talento Humano) - 12/31/2019")</f>
        <v>AICI201805-3-2| A2. Implementar puntos de control que permitan la verificación de la liquidación emitida (como minimo un tecnico en nómina diferente al liquidador y un profesional de la Dirección de Talento Humano) - 12/31/2019</v>
      </c>
      <c r="E93" s="0" t="str">
        <f aca="false">IFERROR(__xludf.dummyfunction("""COMPUTED_VALUE"""),"El proceso de entrega de cesantias retroactivas establecido en la entidad se viene adelantando con la participación de los Técnicos, Profesional Universitario, Director de Talento Humano y la Sub gerencia Corporativa quien da el visto bueno para la firma "&amp;"de la Gerencia.
")</f>
        <v>El proceso de entrega de cesantias retroactivas establecido en la entidad se viene adelantando con la participación de los Técnicos, Profesional Universitario, Director de Talento Humano y la Sub gerencia Corporativa quien da el visto bueno para la firma de la Gerencia.
</v>
      </c>
      <c r="F93" s="0" t="str">
        <f aca="false">IFERROR(__xludf.dummyfunction("""COMPUTED_VALUE"""),"Completo")</f>
        <v>Completo</v>
      </c>
    </row>
    <row r="94" customFormat="false" ht="14.25" hidden="false" customHeight="false" outlineLevel="0" collapsed="false">
      <c r="A94" s="18" t="str">
        <f aca="false">IFERROR(MID(D94,1,FIND("|",D94)-1)&amp;"-"&amp;C94,"")</f>
        <v>AICI201805-4-1-3</v>
      </c>
      <c r="B94" s="19" t="n">
        <f aca="false">IFERROR(__xludf.dummyfunction("""COMPUTED_VALUE"""),43858)</f>
        <v>43858</v>
      </c>
      <c r="C94" s="0" t="n">
        <f aca="false">IFERROR(__xludf.dummyfunction("""COMPUTED_VALUE"""),3)</f>
        <v>3</v>
      </c>
      <c r="D94" s="0" t="str">
        <f aca="false">IFERROR(__xludf.dummyfunction("""COMPUTED_VALUE"""),"AICI201805-4-1| A1. Elaborar matriz de seguimiento a las historias laborales de los funcionarios con derecho cesantias retroactivas con el fin de establecer las difernecias que pudieren existir en las liquidaciones parciales que se han realizado a las sol"&amp;"icitudes de los trabajadores. - 9/30/2019")</f>
        <v>AICI201805-4-1| A1. Elaborar matriz de seguimiento a las historias laborales de los funcionarios con derecho cesantias retroactivas con el fin de establecer las difernecias que pudieren existir en las liquidaciones parciales que se han realizado a las solicitudes de los trabajadores. - 9/30/2019</v>
      </c>
      <c r="E94" s="0" t="str">
        <f aca="false">IFERROR(__xludf.dummyfunction("""COMPUTED_VALUE"""),"Se anexo la relación de hojas de vida revisadas en las cuales no se encuentra ninguna diferencia de valores entre lo liquidado y pagado según los documentos encontrados en la hoja de vida.")</f>
        <v>Se anexo la relación de hojas de vida revisadas en las cuales no se encuentra ninguna diferencia de valores entre lo liquidado y pagado según los documentos encontrados en la hoja de vida.</v>
      </c>
      <c r="F94" s="0" t="str">
        <f aca="false">IFERROR(__xludf.dummyfunction("""COMPUTED_VALUE"""),"Completo")</f>
        <v>Completo</v>
      </c>
    </row>
    <row r="95" customFormat="false" ht="14.25" hidden="false" customHeight="false" outlineLevel="0" collapsed="false">
      <c r="A95" s="18" t="str">
        <f aca="false">IFERROR(MID(D95,1,FIND("|",D95)-1)&amp;"-"&amp;C95,"")</f>
        <v>AICI201805-4-2-3</v>
      </c>
      <c r="B95" s="19" t="n">
        <f aca="false">IFERROR(__xludf.dummyfunction("""COMPUTED_VALUE"""),43858)</f>
        <v>43858</v>
      </c>
      <c r="C95" s="0" t="n">
        <f aca="false">IFERROR(__xludf.dummyfunction("""COMPUTED_VALUE"""),3)</f>
        <v>3</v>
      </c>
      <c r="D95" s="0" t="str">
        <f aca="false">IFERROR(__xludf.dummyfunction("""COMPUTED_VALUE"""),"AICI201805-4-2| A2. Implementar puntos de control que permitan la verificación de la liquidación emitida (como minimo un tecnico en nómina diferente al liquidador y un profesional de la Dirección de Talento Humano). - 12/31/2019")</f>
        <v>AICI201805-4-2| A2. Implementar puntos de control que permitan la verificación de la liquidación emitida (como minimo un tecnico en nómina diferente al liquidador y un profesional de la Dirección de Talento Humano). - 12/31/2019</v>
      </c>
      <c r="E95" s="0" t="str">
        <f aca="false">IFERROR(__xludf.dummyfunction("""COMPUTED_VALUE"""),"Se recomienda que las liquidaciones sean revisadas y firmadas por los dos Técnicos y un profesional de la Dirección de Talento Humano, como se estableció en la acción propuesta.
De acuerdo a información de Talento Humano, el proceso de entrega de cesantia"&amp;"s retroactivas, se viene adelantando con la participación de los Técnicos, Profesional Universitario, Director de Talento Humano y la sub gerencia Corporativa quien da el visto bueno para la firma de la Gerencia.")</f>
        <v>Se recomienda que las liquidaciones sean revisadas y firmadas por los dos Técnicos y un profesional de la Dirección de Talento Humano, como se estableció en la acción propuesta.
De acuerdo a información de Talento Humano, el proceso de entrega de cesantias retroactivas, se viene adelantando con la participación de los Técnicos, Profesional Universitario, Director de Talento Humano y la sub gerencia Corporativa quien da el visto bueno para la firma de la Gerencia.</v>
      </c>
      <c r="F95" s="0" t="str">
        <f aca="false">IFERROR(__xludf.dummyfunction("""COMPUTED_VALUE"""),"Completo")</f>
        <v>Completo</v>
      </c>
    </row>
    <row r="96" customFormat="false" ht="14.25" hidden="false" customHeight="false" outlineLevel="0" collapsed="false">
      <c r="A96" s="18" t="str">
        <f aca="false">IFERROR(MID(D96,1,FIND("|",D96)-1)&amp;"-"&amp;C96,"")</f>
        <v>AICI201805-5-1-3</v>
      </c>
      <c r="B96" s="19" t="n">
        <f aca="false">IFERROR(__xludf.dummyfunction("""COMPUTED_VALUE"""),43858)</f>
        <v>43858</v>
      </c>
      <c r="C96" s="0" t="n">
        <f aca="false">IFERROR(__xludf.dummyfunction("""COMPUTED_VALUE"""),3)</f>
        <v>3</v>
      </c>
      <c r="D96" s="0" t="str">
        <f aca="false">IFERROR(__xludf.dummyfunction("""COMPUTED_VALUE"""),"AICI201805-5-1| A1. Realizar el archivo oportuno de los soportes en las historias laborales. - 12/31/2019")</f>
        <v>AICI201805-5-1| A1. Realizar el archivo oportuno de los soportes en las historias laborales. - 12/31/2019</v>
      </c>
      <c r="E96" s="0" t="str">
        <f aca="false">IFERROR(__xludf.dummyfunction("""COMPUTED_VALUE"""),"A la fecha se viene realizando una relación de correspondencia  para el envío de los documentos soportes de la entrega de cesantias a archivo de las historias laborales.
Se adjunta planilla")</f>
        <v>A la fecha se viene realizando una relación de correspondencia  para el envío de los documentos soportes de la entrega de cesantias a archivo de las historias laborales.
Se adjunta planilla</v>
      </c>
      <c r="F96" s="0" t="str">
        <f aca="false">IFERROR(__xludf.dummyfunction("""COMPUTED_VALUE"""),"Completo")</f>
        <v>Completo</v>
      </c>
    </row>
    <row r="97" customFormat="false" ht="14.25" hidden="false" customHeight="false" outlineLevel="0" collapsed="false">
      <c r="A97" s="18" t="str">
        <f aca="false">IFERROR(MID(D97,1,FIND("|",D97)-1)&amp;"-"&amp;C97,"")</f>
        <v>AICI201805-5-2-3</v>
      </c>
      <c r="B97" s="19" t="n">
        <f aca="false">IFERROR(__xludf.dummyfunction("""COMPUTED_VALUE"""),43858)</f>
        <v>43858</v>
      </c>
      <c r="C97" s="0" t="n">
        <f aca="false">IFERROR(__xludf.dummyfunction("""COMPUTED_VALUE"""),3)</f>
        <v>3</v>
      </c>
      <c r="D97" s="0" t="str">
        <f aca="false">IFERROR(__xludf.dummyfunction("""COMPUTED_VALUE"""),"AICI201805-5-2| A2. Gestionar ante el FONCEP, la emisión de una certificación de los valores cancelados por concepto de Cesantías de cada funcionario desde que laboraban para las fusionadas ESEs que hoy conforman la Subred Norte E.S.E. - 9/30/2019")</f>
        <v>AICI201805-5-2| A2. Gestionar ante el FONCEP, la emisión de una certificación de los valores cancelados por concepto de Cesantías de cada funcionario desde que laboraban para las fusionadas ESEs que hoy conforman la Subred Norte E.S.E. - 9/30/2019</v>
      </c>
      <c r="E97" s="0" t="str">
        <f aca="false">IFERROR(__xludf.dummyfunction("""COMPUTED_VALUE"""),"De acuerdo a la acción propuesta de Gestionar ante el FONCEP, la emisión de una certificación de los valores cancelados por concepto de Cesantías de cada funcionario desde que laboraban para las fusionadas ESEs que hoy conforman la Subred Norte E.S.E., és"&amp;"ta gestión se realizo y según la respuesta del FOCEP, los certificados de los saldos de cesantias  fueron entregados a cada una de las ESEs en su momento, por lo tanto, la Dirección de Gestión de talento Humano viene adelantando la revisión de las hojas d"&amp;"e vida para establecer los valores reales que se han entregado a los colaboradores.
Por lo tanto se recomienda continuar con la labor de revisión y depuración de la información")</f>
        <v>De acuerdo a la acción propuesta de Gestionar ante el FONCEP, la emisión de una certificación de los valores cancelados por concepto de Cesantías de cada funcionario desde que laboraban para las fusionadas ESEs que hoy conforman la Subred Norte E.S.E., ésta gestión se realizo y según la respuesta del FOCEP, los certificados de los saldos de cesantias  fueron entregados a cada una de las ESEs en su momento, por lo tanto, la Dirección de Gestión de talento Humano viene adelantando la revisión de las hojas de vida para establecer los valores reales que se han entregado a los colaboradores.
Por lo tanto se recomienda continuar con la labor de revisión y depuración de la información</v>
      </c>
      <c r="F97" s="0" t="str">
        <f aca="false">IFERROR(__xludf.dummyfunction("""COMPUTED_VALUE"""),"Completo")</f>
        <v>Completo</v>
      </c>
    </row>
    <row r="98" customFormat="false" ht="14.25" hidden="false" customHeight="false" outlineLevel="0" collapsed="false">
      <c r="A98" s="18" t="str">
        <f aca="false">IFERROR(MID(D98,1,FIND("|",D98)-1)&amp;"-"&amp;C98,"")</f>
        <v>AICI201805-6-1-3</v>
      </c>
      <c r="B98" s="19" t="n">
        <f aca="false">IFERROR(__xludf.dummyfunction("""COMPUTED_VALUE"""),43858)</f>
        <v>43858</v>
      </c>
      <c r="C98" s="0" t="n">
        <f aca="false">IFERROR(__xludf.dummyfunction("""COMPUTED_VALUE"""),3)</f>
        <v>3</v>
      </c>
      <c r="D98" s="0" t="str">
        <f aca="false">IFERROR(__xludf.dummyfunction("""COMPUTED_VALUE"""),"AICI201805-6-1| A1. Gestionar ante el FONCEP, la emisión de una certificación de los valores cancelados por concepto de Cesantías de cada funcionario desde que laboraban para las fusionadas ESEs que hoy conforman la Subred Norte E.S.E. - 9/30/2019")</f>
        <v>AICI201805-6-1| A1. Gestionar ante el FONCEP, la emisión de una certificación de los valores cancelados por concepto de Cesantías de cada funcionario desde que laboraban para las fusionadas ESEs que hoy conforman la Subred Norte E.S.E. - 9/30/2019</v>
      </c>
      <c r="E98" s="0" t="str">
        <f aca="false">IFERROR(__xludf.dummyfunction("""COMPUTED_VALUE"""),"De acuerdo a la acción propuesta de Gestionar ante el FONCEP, la emisión de una certificación de los valores cancelados por concepto de Cesantías de cada funcionario desde que laboraban para las fusionadas ESEs que hoy conforman la Subred Norte E.S.E., és"&amp;"ta gestión se realizo y según la respuesta del FOCEP, los certificados de los saldos de cesantias  fueron entregados a cada una de las ESEs en su momento, por lo tanto, la Direccion de Gestión de talento Humano viene adelantando la revisión de las hojas d"&amp;"e vida para establecer los valores reales que se han entregado a los colaboradores.
Por lo tanto se recomienda continuar con la labor de revisión y depuración de la información")</f>
        <v>De acuerdo a la acción propuesta de Gestionar ante el FONCEP, la emisión de una certificación de los valores cancelados por concepto de Cesantías de cada funcionario desde que laboraban para las fusionadas ESEs que hoy conforman la Subred Norte E.S.E., ésta gestión se realizo y según la respuesta del FOCEP, los certificados de los saldos de cesantias  fueron entregados a cada una de las ESEs en su momento, por lo tanto, la Direccion de Gestión de talento Humano viene adelantando la revisión de las hojas de vida para establecer los valores reales que se han entregado a los colaboradores.
Por lo tanto se recomienda continuar con la labor de revisión y depuración de la información</v>
      </c>
      <c r="F98" s="0" t="str">
        <f aca="false">IFERROR(__xludf.dummyfunction("""COMPUTED_VALUE"""),"Completo")</f>
        <v>Completo</v>
      </c>
    </row>
    <row r="99" customFormat="false" ht="14.25" hidden="false" customHeight="false" outlineLevel="0" collapsed="false">
      <c r="A99" s="18" t="str">
        <f aca="false">IFERROR(MID(D99,1,FIND("|",D99)-1)&amp;"-"&amp;C99,"")</f>
        <v>AICI201805-7-1-3</v>
      </c>
      <c r="B99" s="19" t="n">
        <f aca="false">IFERROR(__xludf.dummyfunction("""COMPUTED_VALUE"""),43858)</f>
        <v>43858</v>
      </c>
      <c r="C99" s="0" t="n">
        <f aca="false">IFERROR(__xludf.dummyfunction("""COMPUTED_VALUE"""),3)</f>
        <v>3</v>
      </c>
      <c r="D99" s="0" t="str">
        <f aca="false">IFERROR(__xludf.dummyfunction("""COMPUTED_VALUE"""),"AICI201805-7-1| Elaborar un instructivo para la conciliacion mensual de saldos con los Fondos de cesantias del convenio de retroactividad. - 9/30/2019")</f>
        <v>AICI201805-7-1| Elaborar un instructivo para la conciliacion mensual de saldos con los Fondos de cesantias del convenio de retroactividad. - 9/30/2019</v>
      </c>
      <c r="E99" s="0" t="str">
        <f aca="false">IFERROR(__xludf.dummyfunction("""COMPUTED_VALUE"""),"La acción propuesta es la elaboración de un instructivo para la conciliación mensual de  saldos con el  Fondos de cesantias del convenio de retroactividad, el cual se requiere implementado y  formalizado en Gestión Documental.
")</f>
        <v>La acción propuesta es la elaboración de un instructivo para la conciliación mensual de  saldos con el  Fondos de cesantias del convenio de retroactividad, el cual se requiere implementado y  formalizado en Gestión Documental.
</v>
      </c>
      <c r="F99" s="0" t="str">
        <f aca="false">IFERROR(__xludf.dummyfunction("""COMPUTED_VALUE"""),"Atrasado")</f>
        <v>Atrasado</v>
      </c>
    </row>
    <row r="100" customFormat="false" ht="14.25" hidden="false" customHeight="false" outlineLevel="0" collapsed="false">
      <c r="A100" s="18" t="str">
        <f aca="false">IFERROR(MID(D100,1,FIND("|",D100)-1)&amp;"-"&amp;C100,"")</f>
        <v>AICI201805-10-1-3</v>
      </c>
      <c r="B100" s="19" t="n">
        <f aca="false">IFERROR(__xludf.dummyfunction("""COMPUTED_VALUE"""),43858)</f>
        <v>43858</v>
      </c>
      <c r="C100" s="0" t="n">
        <f aca="false">IFERROR(__xludf.dummyfunction("""COMPUTED_VALUE"""),3)</f>
        <v>3</v>
      </c>
      <c r="D100" s="0" t="str">
        <f aca="false">IFERROR(__xludf.dummyfunction("""COMPUTED_VALUE"""),"AICI201805-10-1| A1: Remitir a Cartera los soportes correspondientes de los saneamientos a los recursos del Sistema General de Participaciones que permitan iniciar la gestión de recuperación o cobro. - 9/30/2019")</f>
        <v>AICI201805-10-1| A1: Remitir a Cartera los soportes correspondientes de los saneamientos a los recursos del Sistema General de Participaciones que permitan iniciar la gestión de recuperación o cobro. - 9/30/2019</v>
      </c>
      <c r="E100" s="0" t="str">
        <f aca="false">IFERROR(__xludf.dummyfunction("""COMPUTED_VALUE"""),"De acuerdo a informe de Talento Humano, se realizó reunión con Financiera (Cartera) quienes dieron instrucciones de cómo iniciar el cobro correspondientes por saneamiento de Aportes Patronales, debiendo la Dirección de Talento humano seguir con el proceso"&amp;" de cobro.")</f>
        <v>De acuerdo a informe de Talento Humano, se realizó reunión con Financiera (Cartera) quienes dieron instrucciones de cómo iniciar el cobro correspondientes por saneamiento de Aportes Patronales, debiendo la Dirección de Talento humano seguir con el proceso de cobro.</v>
      </c>
      <c r="F100" s="0" t="str">
        <f aca="false">IFERROR(__xludf.dummyfunction("""COMPUTED_VALUE"""),"Completo")</f>
        <v>Completo</v>
      </c>
    </row>
    <row r="101" customFormat="false" ht="14.25" hidden="false" customHeight="false" outlineLevel="0" collapsed="false">
      <c r="A101" s="18" t="str">
        <f aca="false">IFERROR(MID(D101,1,FIND("|",D101)-1)&amp;"-"&amp;C101,"")</f>
        <v>AICI201805-10-2-3</v>
      </c>
      <c r="B101" s="19" t="n">
        <f aca="false">IFERROR(__xludf.dummyfunction("""COMPUTED_VALUE"""),43858)</f>
        <v>43858</v>
      </c>
      <c r="C101" s="0" t="n">
        <f aca="false">IFERROR(__xludf.dummyfunction("""COMPUTED_VALUE"""),3)</f>
        <v>3</v>
      </c>
      <c r="D101" s="0" t="str">
        <f aca="false">IFERROR(__xludf.dummyfunction("""COMPUTED_VALUE"""),"AICI201805-10-2| A2: Hacer seguimiento a la gestión de cobro que desarrolla Cartera de los recursos del Sistema General de Participaciones. - 9/30/2019")</f>
        <v>AICI201805-10-2| A2: Hacer seguimiento a la gestión de cobro que desarrolla Cartera de los recursos del Sistema General de Participaciones. - 9/30/2019</v>
      </c>
      <c r="E101" s="0" t="str">
        <f aca="false">IFERROR(__xludf.dummyfunction("""COMPUTED_VALUE"""),"Se circularizó a las administradoras para realizar el cobro de las vigencias  de 1994 a 2011 teniendo en cuenta que estos recursos pueden ingresar a la entidad según la Resolución 154 de 2011.
Los recursos correspondientes a la conciliación de las vigenc"&amp;"ias 2012 a 2016, la Resolución 1545 de 2019, establece que el Ministerio habilitara la plataforma para hacer cruces entre administradoras u ESEs, el cual a la fecha no se encuentra habilitada.
Frente  a este tema se participo en dos reuniones citadas por"&amp;" la SDS durante la vigencia 2019 como parte de la inducción del manejo del aplicativo.
Como parte de la gestión realizada se hizo cobro persuasivo de los saldos conciliados vigencia 1994-2011 a ESKANDIA, PROTECCIÓN, SALUD TOTAL, SANITAS, SURA, CRUZ BLANC"&amp;"A, COMPENSAR, ADRES, COLPENSIONES, SALUD VIDA, LIBERTY, ALIANZ COLOMBIA, COLFONDOS Y ALINZALUD, de los cuales se adjunta el soporte.
Esta acción propuesta, tiene fecha de finalización el 30/09/2019, sin embargo se le dio estado de ""En Desarrollo"", teni"&amp;"endo en cuenta la normatividad y las acciones adelantadas.")</f>
        <v>Se circularizó a las administradoras para realizar el cobro de las vigencias  de 1994 a 2011 teniendo en cuenta que estos recursos pueden ingresar a la entidad según la Resolución 154 de 2011.
Los recursos correspondientes a la conciliación de las vigencias 2012 a 2016, la Resolución 1545 de 2019, establece que el Ministerio habilitara la plataforma para hacer cruces entre administradoras u ESEs, el cual a la fecha no se encuentra habilitada.
Frente  a este tema se participo en dos reuniones citadas por la SDS durante la vigencia 2019 como parte de la inducción del manejo del aplicativo.
Como parte de la gestión realizada se hizo cobro persuasivo de los saldos conciliados vigencia 1994-2011 a ESKANDIA, PROTECCIÓN, SALUD TOTAL, SANITAS, SURA, CRUZ BLANCA, COMPENSAR, ADRES, COLPENSIONES, SALUD VIDA, LIBERTY, ALIANZ COLOMBIA, COLFONDOS Y ALINZALUD, de los cuales se adjunta el soporte.
Esta acción propuesta, tiene fecha de finalización el 30/09/2019, sin embargo se le dio estado de "En Desarrollo", teniendo en cuenta la normatividad y las acciones adelantadas.</v>
      </c>
      <c r="F101" s="0" t="str">
        <f aca="false">IFERROR(__xludf.dummyfunction("""COMPUTED_VALUE"""),"En desarrollo")</f>
        <v>En desarrollo</v>
      </c>
    </row>
    <row r="102" customFormat="false" ht="14.25" hidden="false" customHeight="false" outlineLevel="0" collapsed="false">
      <c r="A102" s="18" t="str">
        <f aca="false">IFERROR(MID(D102,1,FIND("|",D102)-1)&amp;"-"&amp;C102,"")</f>
        <v>AICI201805-10-2-3</v>
      </c>
      <c r="B102" s="19" t="n">
        <f aca="false">IFERROR(__xludf.dummyfunction("""COMPUTED_VALUE"""),43858)</f>
        <v>43858</v>
      </c>
      <c r="C102" s="0" t="n">
        <f aca="false">IFERROR(__xludf.dummyfunction("""COMPUTED_VALUE"""),3)</f>
        <v>3</v>
      </c>
      <c r="D102" s="0" t="str">
        <f aca="false">IFERROR(__xludf.dummyfunction("""COMPUTED_VALUE"""),"AICI201805-10-2| A2: Hacer seguimiento a la gestión de cobro que desarrolla Cartera de los recursos del Sistema General de Participaciones. - 9/30/2019")</f>
        <v>AICI201805-10-2| A2: Hacer seguimiento a la gestión de cobro que desarrolla Cartera de los recursos del Sistema General de Participaciones. - 9/30/2019</v>
      </c>
      <c r="E102" s="0" t="str">
        <f aca="false">IFERROR(__xludf.dummyfunction("""COMPUTED_VALUE"""),"Se circularizo a las administradoras para realizar el cobro de las vigencias  de 1994 a 2011 teniendo en cuenta que estos recursos pueden ingresar a la entidad según la Resolución 154 de 2011.
Los recursos correspondientes a la conciliación de las vigenc"&amp;"ias 2012 a 2016, la Resolución 1545 de 2019, establece que el Ministerio habilitara la plataforma para hacer cruces entre administradoras u ESEs, el cual a la fecha no se encuentra habilitada.
Frente  a este tema se participo en dos reuniones citadas por"&amp;" la SDS durante la vigencia 2019 como parte de la inducción del manejo del aplicativo.
Como parte de la gestión realizada se hizo cobro persuasivo de los saldos conciliados vigencia 1994-2011 a ESKANDIA, PROTECCION, SALUD TOTAL, SANITAS, SURA, CRUZ BLANC"&amp;"A, COMPENSAR, ADRES, COLPENSIONES, SALUD VIDA, LIBERTY, ALIANZ COLOMBIA, COLFONDOS Y ALINZALUD, de los cuales se adjunta el soporte.
Esta acción propuesta, tiene fecha de finalización el 30/09/2019, sin embargo se le dio estado de ""En Desarrollo"", teni"&amp;"endo en cuenta la normatividad y las acciones adelantadas.")</f>
        <v>Se circularizo a las administradoras para realizar el cobro de las vigencias  de 1994 a 2011 teniendo en cuenta que estos recursos pueden ingresar a la entidad según la Resolución 154 de 2011.
Los recursos correspondientes a la conciliación de las vigencias 2012 a 2016, la Resolución 1545 de 2019, establece que el Ministerio habilitara la plataforma para hacer cruces entre administradoras u ESEs, el cual a la fecha no se encuentra habilitada.
Frente  a este tema se participo en dos reuniones citadas por la SDS durante la vigencia 2019 como parte de la inducción del manejo del aplicativo.
Como parte de la gestión realizada se hizo cobro persuasivo de los saldos conciliados vigencia 1994-2011 a ESKANDIA, PROTECCION, SALUD TOTAL, SANITAS, SURA, CRUZ BLANCA, COMPENSAR, ADRES, COLPENSIONES, SALUD VIDA, LIBERTY, ALIANZ COLOMBIA, COLFONDOS Y ALINZALUD, de los cuales se adjunta el soporte.
Esta acción propuesta, tiene fecha de finalización el 30/09/2019, sin embargo se le dio estado de "En Desarrollo", teniendo en cuenta la normatividad y las acciones adelantadas.</v>
      </c>
      <c r="F102" s="0" t="str">
        <f aca="false">IFERROR(__xludf.dummyfunction("""COMPUTED_VALUE"""),"En desarrollo")</f>
        <v>En desarrollo</v>
      </c>
    </row>
    <row r="103" customFormat="false" ht="14.25" hidden="false" customHeight="false" outlineLevel="0" collapsed="false">
      <c r="A103" s="18" t="str">
        <f aca="false">IFERROR(MID(D103,1,FIND("|",D103)-1)&amp;"-"&amp;C103,"")</f>
        <v>AICI201805-10-3-3</v>
      </c>
      <c r="B103" s="19" t="n">
        <f aca="false">IFERROR(__xludf.dummyfunction("""COMPUTED_VALUE"""),43858)</f>
        <v>43858</v>
      </c>
      <c r="C103" s="0" t="n">
        <f aca="false">IFERROR(__xludf.dummyfunction("""COMPUTED_VALUE"""),3)</f>
        <v>3</v>
      </c>
      <c r="D103" s="0" t="str">
        <f aca="false">IFERROR(__xludf.dummyfunction("""COMPUTED_VALUE"""),"AICI201805-10-3| A3: Realizar conforme a lo gestionado por Cartera la actualización de información en la Matriz de saneamiento de Aportes Patronales. - 9/30/2019")</f>
        <v>AICI201805-10-3| A3: Realizar conforme a lo gestionado por Cartera la actualización de información en la Matriz de saneamiento de Aportes Patronales. - 9/30/2019</v>
      </c>
      <c r="E103" s="0" t="str">
        <f aca="false">IFERROR(__xludf.dummyfunction("""COMPUTED_VALUE"""),"De acuerdo a informe del área, a la fecha cuanta con un valor de  $2,223,747,924, de los cuales 1445 millones corresponde saldos a favor con los fondo de pensiones con los cuales se viene adelantando un proceso de depuración de las vigencias 1994 a 2011, "&amp;" para establecer los valores reales a trasferir por estos periodos. 
Esta acción propuesta, tiene fecha de finalización el 30/09/2019, sin embargo se le dio estado de ""En Desarrollo"", teniendo en cuenta la normatividad y las acciones adelantadas.
")</f>
        <v>De acuerdo a informe del área, a la fecha cuanta con un valor de  $2,223,747,924, de los cuales 1445 millones corresponde saldos a favor con los fondo de pensiones con los cuales se viene adelantando un proceso de depuración de las vigencias 1994 a 2011,  para establecer los valores reales a trasferir por estos periodos. 
Esta acción propuesta, tiene fecha de finalización el 30/09/2019, sin embargo se le dio estado de "En Desarrollo", teniendo en cuenta la normatividad y las acciones adelantadas.
</v>
      </c>
      <c r="F103" s="0" t="str">
        <f aca="false">IFERROR(__xludf.dummyfunction("""COMPUTED_VALUE"""),"En desarrollo")</f>
        <v>En desarrollo</v>
      </c>
    </row>
    <row r="104" customFormat="false" ht="14.25" hidden="false" customHeight="false" outlineLevel="0" collapsed="false">
      <c r="A104" s="18" t="str">
        <f aca="false">IFERROR(MID(D104,1,FIND("|",D104)-1)&amp;"-"&amp;C104,"")</f>
        <v>AICI201805-14-1-3</v>
      </c>
      <c r="B104" s="19" t="n">
        <f aca="false">IFERROR(__xludf.dummyfunction("""COMPUTED_VALUE"""),43858)</f>
        <v>43858</v>
      </c>
      <c r="C104" s="0" t="n">
        <f aca="false">IFERROR(__xludf.dummyfunction("""COMPUTED_VALUE"""),3)</f>
        <v>3</v>
      </c>
      <c r="D104" s="0" t="str">
        <f aca="false">IFERROR(__xludf.dummyfunction("""COMPUTED_VALUE"""),"AICI201805-14-1| A1: Diseñar e implementar un instructivo para efectuar las reincorporaciones al servicio activo del personal, motivadas por la culminación de periodos de incapacidades superiores a 30 dias. - 4/30/2019")</f>
        <v>AICI201805-14-1| A1: Diseñar e implementar un instructivo para efectuar las reincorporaciones al servicio activo del personal, motivadas por la culminación de periodos de incapacidades superiores a 30 dias. - 4/30/2019</v>
      </c>
      <c r="E104" s="0" t="str">
        <f aca="false">IFERROR(__xludf.dummyfunction("""COMPUTED_VALUE"""),"Se inicio un proceso de acompañamiento con la ARL SURA del cual se adjunta acta donde se reviso el mecanismo con que actualmente se trabaja en la entidad y se decidió continuar con el mismo mientras se define una herramienta que pueda servir para el manej"&amp;"o integral de estos casos, por lo que se continua con el manejo  del instructivo CODIGO: AP-TH-I-07-01 DE 2017, VERSION 1-, el cual se viene cumpliendo en su aplicación, adicional a este y como complemento del proceso se realizo el Formato CÓDIGO: AP-TH-F"&amp;"-68-01 con el cual se formaliza esta acción en caso de ser necesaria según las recomendaciones medicas emitidas por el medico tratante de la EPS, ARL o el médico de la entidad.
Como parte integral del instructivo se realizo el formato CODIGO : AP-TH-30-0"&amp;"1 SEGUIMIENTO A RECOMENDACIONES Y REINTEGRO LABORAL, el cual diligencia el médico cuando es incorporado el funcionario después de una incapacidad o por recomendaciones emitidas por los médicos tratantes.
Posterior al reintegro laboral es importante reali"&amp;"zar seguimiento al proceso de adaptación del trabajador, por lo que es necesario hacer  el primer seguimiento a los 10 días de haberse reintegrado y semanalmente hasta que finalice el tiempo de las recomendaciones; si éstas son permanente o  definitivas s"&amp;"e hará un seguimiento laboral mensual.")</f>
        <v>Se inicio un proceso de acompañamiento con la ARL SURA del cual se adjunta acta donde se reviso el mecanismo con que actualmente se trabaja en la entidad y se decidió continuar con el mismo mientras se define una herramienta que pueda servir para el manejo integral de estos casos, por lo que se continua con el manejo  del instructivo CODIGO: AP-TH-I-07-01 DE 2017, VERSION 1-, el cual se viene cumpliendo en su aplicación, adicional a este y como complemento del proceso se realizo el Formato CÓDIGO: AP-TH-F-68-01 con el cual se formaliza esta acción en caso de ser necesaria según las recomendaciones medicas emitidas por el medico tratante de la EPS, ARL o el médico de la entidad.
Como parte integral del instructivo se realizo el formato CODIGO : AP-TH-30-01 SEGUIMIENTO A RECOMENDACIONES Y REINTEGRO LABORAL, el cual diligencia el médico cuando es incorporado el funcionario después de una incapacidad o por recomendaciones emitidas por los médicos tratantes.
Posterior al reintegro laboral es importante realizar seguimiento al proceso de adaptación del trabajador, por lo que es necesario hacer  el primer seguimiento a los 10 días de haberse reintegrado y semanalmente hasta que finalice el tiempo de las recomendaciones; si éstas son permanente o  definitivas se hará un seguimiento laboral mensual.</v>
      </c>
      <c r="F104" s="0" t="str">
        <f aca="false">IFERROR(__xludf.dummyfunction("""COMPUTED_VALUE"""),"Completo")</f>
        <v>Completo</v>
      </c>
    </row>
    <row r="105" customFormat="false" ht="14.25" hidden="false" customHeight="false" outlineLevel="0" collapsed="false">
      <c r="A105" s="18" t="str">
        <f aca="false">IFERROR(MID(D105,1,FIND("|",D105)-1)&amp;"-"&amp;C105,"")</f>
        <v>AICI201805-14-2-3</v>
      </c>
      <c r="B105" s="19" t="n">
        <f aca="false">IFERROR(__xludf.dummyfunction("""COMPUTED_VALUE"""),43858)</f>
        <v>43858</v>
      </c>
      <c r="C105" s="0" t="n">
        <f aca="false">IFERROR(__xludf.dummyfunction("""COMPUTED_VALUE"""),3)</f>
        <v>3</v>
      </c>
      <c r="D105" s="0" t="str">
        <f aca="false">IFERROR(__xludf.dummyfunction("""COMPUTED_VALUE"""),"AICI201805-14-2| A2. Realizar el archivo oportuno de los soportes en las historias laborales. - 12/31/2019")</f>
        <v>AICI201805-14-2| A2. Realizar el archivo oportuno de los soportes en las historias laborales. - 12/31/2019</v>
      </c>
      <c r="E105" s="0" t="str">
        <f aca="false">IFERROR(__xludf.dummyfunction("""COMPUTED_VALUE"""),"Se viene realizando la remisión de los soportes de incapacidades y recomendaciones medico laborales a las historias laborales  de los cual se adjuntan los soportes de envío.
Se recomienda verificar el correcto archivo de los soportes en las correspondient"&amp;"es historias laborales.")</f>
        <v>Se viene realizando la remisión de los soportes de incapacidades y recomendaciones medico laborales a las historias laborales  de los cual se adjuntan los soportes de envío.
Se recomienda verificar el correcto archivo de los soportes en las correspondientes historias laborales.</v>
      </c>
      <c r="F105" s="0" t="str">
        <f aca="false">IFERROR(__xludf.dummyfunction("""COMPUTED_VALUE"""),"Completo")</f>
        <v>Completo</v>
      </c>
    </row>
    <row r="106" customFormat="false" ht="14.25" hidden="false" customHeight="false" outlineLevel="0" collapsed="false">
      <c r="A106" s="18" t="str">
        <f aca="false">IFERROR(MID(D106,1,FIND("|",D106)-1)&amp;"-"&amp;C106,"")</f>
        <v>AICI201805-15-1-3</v>
      </c>
      <c r="B106" s="19" t="n">
        <f aca="false">IFERROR(__xludf.dummyfunction("""COMPUTED_VALUE"""),43858)</f>
        <v>43858</v>
      </c>
      <c r="C106" s="0" t="n">
        <f aca="false">IFERROR(__xludf.dummyfunction("""COMPUTED_VALUE"""),3)</f>
        <v>3</v>
      </c>
      <c r="D106" s="0" t="str">
        <f aca="false">IFERROR(__xludf.dummyfunction("""COMPUTED_VALUE"""),"AICI201805-15-1| Ajustar la Politica de Seguridad y Salud en el Trabajo que comtemple los elementos de justificación, alcance, identificación de riesgos, campo de aplicación y cumpla con los requerido en el Decreto 1072 - 2015 frente a la fecha y firma de"&amp;"l Represenatnte legal. - 5/30/2019")</f>
        <v>AICI201805-15-1| Ajustar la Politica de Seguridad y Salud en el Trabajo que comtemple los elementos de justificación, alcance, identificación de riesgos, campo de aplicación y cumpla con los requerido en el Decreto 1072 - 2015 frente a la fecha y firma del Represenatnte legal. - 5/30/2019</v>
      </c>
      <c r="E106" s="0" t="str">
        <f aca="false">IFERROR(__xludf.dummyfunction("""COMPUTED_VALUE"""),"La Política de Seguridad y Salud en el Trabajo debe contemplar  los elementos de justificación, alcance, identificación de riesgos, campo de aplicación y que cumpla con lo requerido en el Decreto 1072 - 2015 frente a la fecha y firma del Representante leg"&amp;"al. Se anexo resolución sin firma y sin los requisitos mencionados.
Igualmente la Política no se encuentra publicada.")</f>
        <v>La Política de Seguridad y Salud en el Trabajo debe contemplar  los elementos de justificación, alcance, identificación de riesgos, campo de aplicación y que cumpla con lo requerido en el Decreto 1072 - 2015 frente a la fecha y firma del Representante legal. Se anexo resolución sin firma y sin los requisitos mencionados.
Igualmente la Política no se encuentra publicada.</v>
      </c>
      <c r="F106" s="0" t="str">
        <f aca="false">IFERROR(__xludf.dummyfunction("""COMPUTED_VALUE"""),"Atrasado")</f>
        <v>Atrasado</v>
      </c>
    </row>
    <row r="107" customFormat="false" ht="14.25" hidden="false" customHeight="false" outlineLevel="0" collapsed="false">
      <c r="A107" s="18" t="str">
        <f aca="false">IFERROR(MID(D107,1,FIND("|",D107)-1)&amp;"-"&amp;C107,"")</f>
        <v>AICI201805-16-1-3</v>
      </c>
      <c r="B107" s="19" t="n">
        <f aca="false">IFERROR(__xludf.dummyfunction("""COMPUTED_VALUE"""),43858)</f>
        <v>43858</v>
      </c>
      <c r="C107" s="0" t="n">
        <f aca="false">IFERROR(__xludf.dummyfunction("""COMPUTED_VALUE"""),3)</f>
        <v>3</v>
      </c>
      <c r="D107" s="0" t="str">
        <f aca="false">IFERROR(__xludf.dummyfunction("""COMPUTED_VALUE"""),"AICI201805-16-1| Divulgar el documento ajustado de la Política de Seguridad y Salud en el Trabajo de la entidad, debidamente firmado por el Representante Legal. - 5/30/2019")</f>
        <v>AICI201805-16-1| Divulgar el documento ajustado de la Política de Seguridad y Salud en el Trabajo de la entidad, debidamente firmado por el Representante Legal. - 5/30/2019</v>
      </c>
      <c r="E107" s="0" t="str">
        <f aca="false">IFERROR(__xludf.dummyfunction("""COMPUTED_VALUE"""),"La acción propuesta es Divulgar el documento ajustado de la Política de Seguridad y Salud en el Trabajo de la entidad, debidamente firmado por el Representante Legal.
No se cuenta con la formalización de la Política y su socialización")</f>
        <v>La acción propuesta es Divulgar el documento ajustado de la Política de Seguridad y Salud en el Trabajo de la entidad, debidamente firmado por el Representante Legal.
No se cuenta con la formalización de la Política y su socialización</v>
      </c>
      <c r="F107" s="0" t="str">
        <f aca="false">IFERROR(__xludf.dummyfunction("""COMPUTED_VALUE"""),"Atrasado")</f>
        <v>Atrasado</v>
      </c>
    </row>
    <row r="108" customFormat="false" ht="14.25" hidden="false" customHeight="false" outlineLevel="0" collapsed="false">
      <c r="A108" s="18" t="str">
        <f aca="false">IFERROR(MID(D108,1,FIND("|",D108)-1)&amp;"-"&amp;C108,"")</f>
        <v>AICI201805-17-1-3</v>
      </c>
      <c r="B108" s="19" t="n">
        <f aca="false">IFERROR(__xludf.dummyfunction("""COMPUTED_VALUE"""),43858)</f>
        <v>43858</v>
      </c>
      <c r="C108" s="0" t="n">
        <f aca="false">IFERROR(__xludf.dummyfunction("""COMPUTED_VALUE"""),3)</f>
        <v>3</v>
      </c>
      <c r="D108" s="0" t="str">
        <f aca="false">IFERROR(__xludf.dummyfunction("""COMPUTED_VALUE"""),"AICI201805-17-1| Elaborar el documento Plan de Acción para la vigencia 2019 conforme a los lineamientos fijados en el Decreto No.1072-2015 Artículo 2.2.4.6.17. - 3/31/2019")</f>
        <v>AICI201805-17-1| Elaborar el documento Plan de Acción para la vigencia 2019 conforme a los lineamientos fijados en el Decreto No.1072-2015 Artículo 2.2.4.6.17. - 3/31/2019</v>
      </c>
      <c r="E108" s="0" t="str">
        <f aca="false">IFERROR(__xludf.dummyfunction("""COMPUTED_VALUE"""),"La acción de mejoramiento propuesta es elaborar el documento Plan de Acción para la vigencia  2019 conforme a los lineamientos fijados en el Decreto No.1072-2015 Artículo 2.2.4.6.17. La respuesta de Talento Humano es que este plan correspondiente a la vig"&amp;"encia 2019 se encuentra publicado en la web de la entidad  desde el enero de 2019; el formato utilizado corresponde a la versión 2 de fecha Junio de 2017.   Sin embargo al consultar en la página web de la entidad el código ES-GC-F-37-02, Versión 2, corres"&amp;"ponde a Plantilla Plan, el cual corresponde a una plantilla, no a un Plan")</f>
        <v>La acción de mejoramiento propuesta es elaborar el documento Plan de Acción para la vigencia  2019 conforme a los lineamientos fijados en el Decreto No.1072-2015 Artículo 2.2.4.6.17. La respuesta de Talento Humano es que este plan correspondiente a la vigencia 2019 se encuentra publicado en la web de la entidad  desde el enero de 2019; el formato utilizado corresponde a la versión 2 de fecha Junio de 2017.   Sin embargo al consultar en la página web de la entidad el código ES-GC-F-37-02, Versión 2, corresponde a Plantilla Plan, el cual corresponde a una plantilla, no a un Plan</v>
      </c>
      <c r="F108" s="0" t="str">
        <f aca="false">IFERROR(__xludf.dummyfunction("""COMPUTED_VALUE"""),"Atrasado")</f>
        <v>Atrasado</v>
      </c>
    </row>
    <row r="109" customFormat="false" ht="14.25" hidden="false" customHeight="false" outlineLevel="0" collapsed="false">
      <c r="A109" s="18" t="str">
        <f aca="false">IFERROR(MID(D109,1,FIND("|",D109)-1)&amp;"-"&amp;C109,"")</f>
        <v>AICI201805-18-2-3</v>
      </c>
      <c r="B109" s="19" t="n">
        <f aca="false">IFERROR(__xludf.dummyfunction("""COMPUTED_VALUE"""),43858)</f>
        <v>43858</v>
      </c>
      <c r="C109" s="0" t="n">
        <f aca="false">IFERROR(__xludf.dummyfunction("""COMPUTED_VALUE"""),3)</f>
        <v>3</v>
      </c>
      <c r="D109" s="0" t="str">
        <f aca="false">IFERROR(__xludf.dummyfunction("""COMPUTED_VALUE"""),"AICI201805-18-2| A2: Verificar la asitencia de los miembros (quorum) del Comité Paritario de Seguridad y Salud en el Trabajo de la Subred Norte E.S.E., conforme a lo señalado en la Resolución No. 0051 de 2017 - Artículos Quinto y Séptimo de la Resolución "&amp;"No. 0051 de 2017. - 12/31/2019")</f>
        <v>AICI201805-18-2| A2: Verificar la asitencia de los miembros (quorum) del Comité Paritario de Seguridad y Salud en el Trabajo de la Subred Norte E.S.E., conforme a lo señalado en la Resolución No. 0051 de 2017 - Artículos Quinto y Séptimo de la Resolución No. 0051 de 2017. - 12/31/2019</v>
      </c>
      <c r="E109" s="0" t="str">
        <f aca="false">IFERROR(__xludf.dummyfunction("""COMPUTED_VALUE"""),"Se viene cumpliendo con lo establecido en el Articulo 8 de  la Resolución No 2013
Junio 6 de 1986 el cual establece que "" El quórum para sesionar el comité estará constituido por la mitad más uno de sus miembros. Pasados los primeros treinta minutos de l"&amp;"a hora señalada para empezar la reunión del comité sesionará con los miembros presentes y sus decisiones tendrán plena validez""")</f>
        <v>Se viene cumpliendo con lo establecido en el Articulo 8 de  la Resolución No 2013
Junio 6 de 1986 el cual establece que " El quórum para sesionar el comité estará constituido por la mitad más uno de sus miembros. Pasados los primeros treinta minutos de la hora señalada para empezar la reunión del comité sesionará con los miembros presentes y sus decisiones tendrán plena validez"</v>
      </c>
      <c r="F109" s="0" t="str">
        <f aca="false">IFERROR(__xludf.dummyfunction("""COMPUTED_VALUE"""),"Completo")</f>
        <v>Completo</v>
      </c>
    </row>
    <row r="110" customFormat="false" ht="14.25" hidden="false" customHeight="false" outlineLevel="0" collapsed="false">
      <c r="A110" s="18" t="str">
        <f aca="false">IFERROR(MID(D110,1,FIND("|",D110)-1)&amp;"-"&amp;C110,"")</f>
        <v>AICI201805-24-1-3</v>
      </c>
      <c r="B110" s="19" t="n">
        <f aca="false">IFERROR(__xludf.dummyfunction("""COMPUTED_VALUE"""),43858)</f>
        <v>43858</v>
      </c>
      <c r="C110" s="0" t="n">
        <f aca="false">IFERROR(__xludf.dummyfunction("""COMPUTED_VALUE"""),3)</f>
        <v>3</v>
      </c>
      <c r="D110" s="0" t="str">
        <f aca="false">IFERROR(__xludf.dummyfunction("""COMPUTED_VALUE"""),"AICI201805-24-1| A1: Gestionar el requerimiento de adquisición de las dotaciones del personal de manera oportuna para su radicación en la Dirección de Contratación de la entidad. - 12/31/2019")</f>
        <v>AICI201805-24-1| A1: Gestionar el requerimiento de adquisición de las dotaciones del personal de manera oportuna para su radicación en la Dirección de Contratación de la entidad. - 12/31/2019</v>
      </c>
      <c r="E110" s="0" t="str">
        <f aca="false">IFERROR(__xludf.dummyfunction("""COMPUTED_VALUE"""),"Se realizo la gestión para la realización del contrato  No 194 de 2019  con el proveedor  BIG PASS S.A.S.	NIT	800.112.214-2 , total 177 dotaciones.
Al final de la vigencia se cumplió con la entrega del total de la dotación de acuerdo al número de funcion"&amp;"arios que aparecen para cada periodo:  
I PERIODO  - 171  
II PERIODO - 167
II PERIODO -  166
Vale la pena aclarar que la diferencia entre lo pedido inicialmente en el contrato y las dotaciones entregadas se debe a los retiros de funcionarios y las inca"&amp;"pacidades mayores a 60 días.
No hay evidencia del cumplimiento de entregas en las fechas establecidas.
")</f>
        <v>Se realizo la gestión para la realización del contrato  No 194 de 2019  con el proveedor  BIG PASS S.A.S.	NIT	800.112.214-2 , total 177 dotaciones.
Al final de la vigencia se cumplió con la entrega del total de la dotación de acuerdo al número de funcionarios que aparecen para cada periodo:  
I PERIODO  - 171  
II PERIODO - 167
II PERIODO -  166
Vale la pena aclarar que la diferencia entre lo pedido inicialmente en el contrato y las dotaciones entregadas se debe a los retiros de funcionarios y las incapacidades mayores a 60 días.
No hay evidencia del cumplimiento de entregas en las fechas establecidas.
</v>
      </c>
      <c r="F110" s="0" t="str">
        <f aca="false">IFERROR(__xludf.dummyfunction("""COMPUTED_VALUE"""),"Completo")</f>
        <v>Completo</v>
      </c>
    </row>
    <row r="111" customFormat="false" ht="14.25" hidden="false" customHeight="false" outlineLevel="0" collapsed="false">
      <c r="A111" s="18" t="str">
        <f aca="false">IFERROR(MID(D111,1,FIND("|",D111)-1)&amp;"-"&amp;C111,"")</f>
        <v>AICI201805-24-1-3</v>
      </c>
      <c r="B111" s="19" t="n">
        <f aca="false">IFERROR(__xludf.dummyfunction("""COMPUTED_VALUE"""),43858)</f>
        <v>43858</v>
      </c>
      <c r="C111" s="0" t="n">
        <f aca="false">IFERROR(__xludf.dummyfunction("""COMPUTED_VALUE"""),3)</f>
        <v>3</v>
      </c>
      <c r="D111" s="0" t="str">
        <f aca="false">IFERROR(__xludf.dummyfunction("""COMPUTED_VALUE"""),"AICI201805-24-1| A1: Gestionar el requerimiento de adquisición de las dotaciones del personal de manera oportuna para su radicación en la Dirección de Contratación de la entidad. - 12/31/2019")</f>
        <v>AICI201805-24-1| A1: Gestionar el requerimiento de adquisición de las dotaciones del personal de manera oportuna para su radicación en la Dirección de Contratación de la entidad. - 12/31/2019</v>
      </c>
      <c r="E111" s="0" t="str">
        <f aca="false">IFERROR(__xludf.dummyfunction("""COMPUTED_VALUE"""),"Se realizo el seguimiento del contrato de acuerdo al manual de contratación existente.
No hay evidencia del cumplimiento de entregas en las fechas establecidas.")</f>
        <v>Se realizo el seguimiento del contrato de acuerdo al manual de contratación existente.
No hay evidencia del cumplimiento de entregas en las fechas establecidas.</v>
      </c>
      <c r="F111" s="0" t="str">
        <f aca="false">IFERROR(__xludf.dummyfunction("""COMPUTED_VALUE"""),"Completo")</f>
        <v>Completo</v>
      </c>
    </row>
    <row r="112" customFormat="false" ht="14.25" hidden="false" customHeight="false" outlineLevel="0" collapsed="false">
      <c r="A112" s="18" t="str">
        <f aca="false">IFERROR(MID(D112,1,FIND("|",D112)-1)&amp;"-"&amp;C112,"")</f>
        <v>AICI201805-24-2-3</v>
      </c>
      <c r="B112" s="19" t="n">
        <f aca="false">IFERROR(__xludf.dummyfunction("""COMPUTED_VALUE"""),43858)</f>
        <v>43858</v>
      </c>
      <c r="C112" s="0" t="n">
        <f aca="false">IFERROR(__xludf.dummyfunction("""COMPUTED_VALUE"""),3)</f>
        <v>3</v>
      </c>
      <c r="D112" s="0" t="str">
        <f aca="false">IFERROR(__xludf.dummyfunction("""COMPUTED_VALUE"""),"AICI201805-24-2| A2: Desarrollar las funciones administrativas, técnicas, financieras y contables de supervisión asignadas que permitan la adecuada ejecución del contrato de bienes y servicios para la adquisición de las dotaciones del personal. - 12/31/20"&amp;"19")</f>
        <v>AICI201805-24-2| A2: Desarrollar las funciones administrativas, técnicas, financieras y contables de supervisión asignadas que permitan la adecuada ejecución del contrato de bienes y servicios para la adquisición de las dotaciones del personal. - 12/31/2019</v>
      </c>
      <c r="E112" s="0" t="str">
        <f aca="false">IFERROR(__xludf.dummyfunction("""COMPUTED_VALUE"""),"Se realizo el seguimiento del contrato de acuerdo al manual de contratación existente.
No hay evidencia del cumplimiento de entregas en las fechas establecidas.")</f>
        <v>Se realizo el seguimiento del contrato de acuerdo al manual de contratación existente.
No hay evidencia del cumplimiento de entregas en las fechas establecidas.</v>
      </c>
      <c r="F112" s="0" t="str">
        <f aca="false">IFERROR(__xludf.dummyfunction("""COMPUTED_VALUE"""),"Completo")</f>
        <v>Completo</v>
      </c>
    </row>
    <row r="113" customFormat="false" ht="14.25" hidden="false" customHeight="false" outlineLevel="0" collapsed="false">
      <c r="A113" s="18" t="str">
        <f aca="false">IFERROR(MID(D113,1,FIND("|",D113)-1)&amp;"-"&amp;C113,"")</f>
        <v>AICI201805-25-1-3</v>
      </c>
      <c r="B113" s="19" t="n">
        <f aca="false">IFERROR(__xludf.dummyfunction("""COMPUTED_VALUE"""),43858)</f>
        <v>43858</v>
      </c>
      <c r="C113" s="0" t="n">
        <f aca="false">IFERROR(__xludf.dummyfunction("""COMPUTED_VALUE"""),3)</f>
        <v>3</v>
      </c>
      <c r="D113" s="0" t="str">
        <f aca="false">IFERROR(__xludf.dummyfunction("""COMPUTED_VALUE"""),"AICI201805-25-1| A1: Gestionar el requerimiento de adquisición de las dotaciones del personal de manera oportuna para su radicación en la Dirección de Contratación de la entidad. - 12/31/2019")</f>
        <v>AICI201805-25-1| A1: Gestionar el requerimiento de adquisición de las dotaciones del personal de manera oportuna para su radicación en la Dirección de Contratación de la entidad. - 12/31/2019</v>
      </c>
      <c r="E113" s="0" t="str">
        <f aca="false">IFERROR(__xludf.dummyfunction("""COMPUTED_VALUE"""),"Se realizo la gestión para la realización del contrato  No 194 de 2019  con el proveedor  BIG PASS S.A.S.	NIT	800.112.214-2 , total 177 dotaciones.
A la fecha se ha cumplido con la entrega del total de la dotación de acuerdo al numero de funcionarios que"&amp;" aparecen para cada periodo:  
I PERIODO  - 171  
II PERIODO - 167
II PERIODO -  166
Vale la pena aclarar que la diferencia entre lo pedido inicialmente en el contrato y las dotaciones entregadas se debe a los retiros de funcionarios y las incapacidades"&amp;" mayores a 60 días.
No hay evidencia del cumplimiento de entregas en las fechas establecidas.
")</f>
        <v>Se realizo la gestión para la realización del contrato  No 194 de 2019  con el proveedor  BIG PASS S.A.S.	NIT	800.112.214-2 , total 177 dotaciones.
A la fecha se ha cumplido con la entrega del total de la dotación de acuerdo al numero de funcionarios que aparecen para cada periodo:  
I PERIODO  - 171  
II PERIODO - 167
II PERIODO -  166
Vale la pena aclarar que la diferencia entre lo pedido inicialmente en el contrato y las dotaciones entregadas se debe a los retiros de funcionarios y las incapacidades mayores a 60 días.
No hay evidencia del cumplimiento de entregas en las fechas establecidas.
</v>
      </c>
      <c r="F113" s="0" t="str">
        <f aca="false">IFERROR(__xludf.dummyfunction("""COMPUTED_VALUE"""),"Completo")</f>
        <v>Completo</v>
      </c>
    </row>
    <row r="114" customFormat="false" ht="14.25" hidden="false" customHeight="false" outlineLevel="0" collapsed="false">
      <c r="A114" s="18" t="str">
        <f aca="false">IFERROR(MID(D114,1,FIND("|",D114)-1)&amp;"-"&amp;C114,"")</f>
        <v>AICI201805-25-2-3</v>
      </c>
      <c r="B114" s="19" t="n">
        <f aca="false">IFERROR(__xludf.dummyfunction("""COMPUTED_VALUE"""),43858)</f>
        <v>43858</v>
      </c>
      <c r="C114" s="0" t="n">
        <f aca="false">IFERROR(__xludf.dummyfunction("""COMPUTED_VALUE"""),3)</f>
        <v>3</v>
      </c>
      <c r="D114" s="0" t="str">
        <f aca="false">IFERROR(__xludf.dummyfunction("""COMPUTED_VALUE"""),"AICI201805-25-2| A2: Desarrollar las funciones administrativas, técnicas, financieras y contables de supervisión asignadas que permitan la adecuada ejecución del contrato de bienes y servicios para la adquisición de las dotaciones del personal. - 12/31/20"&amp;"19")</f>
        <v>AICI201805-25-2| A2: Desarrollar las funciones administrativas, técnicas, financieras y contables de supervisión asignadas que permitan la adecuada ejecución del contrato de bienes y servicios para la adquisición de las dotaciones del personal. - 12/31/2019</v>
      </c>
      <c r="E114" s="0" t="str">
        <f aca="false">IFERROR(__xludf.dummyfunction("""COMPUTED_VALUE"""),"A enero 2020 se cuenta con las dotaciones entregadas de la vigencia 2019, los soportes de entrega se encuentran en el almacén de Chapinero ( SALIDAS DE ALMACÉN FIRMADAS POR CADA FUNCIONARIO).  
Se recomienda realizar los trámites de contratación con la de"&amp;"bida anticipación y dar cumplimiento a los plazos estipulados para la entrega de las dotaciones.")</f>
        <v>A enero 2020 se cuenta con las dotaciones entregadas de la vigencia 2019, los soportes de entrega se encuentran en el almacén de Chapinero ( SALIDAS DE ALMACÉN FIRMADAS POR CADA FUNCIONARIO).  
Se recomienda realizar los trámites de contratación con la debida anticipación y dar cumplimiento a los plazos estipulados para la entrega de las dotaciones.</v>
      </c>
      <c r="F114" s="0" t="str">
        <f aca="false">IFERROR(__xludf.dummyfunction("""COMPUTED_VALUE"""),"Completo")</f>
        <v>Completo</v>
      </c>
    </row>
    <row r="115" customFormat="false" ht="14.25" hidden="false" customHeight="false" outlineLevel="0" collapsed="false">
      <c r="A115" s="18" t="str">
        <f aca="false">IFERROR(MID(D115,1,FIND("|",D115)-1)&amp;"-"&amp;C115,"")</f>
        <v>AICI201805-26-1-3</v>
      </c>
      <c r="B115" s="19" t="n">
        <f aca="false">IFERROR(__xludf.dummyfunction("""COMPUTED_VALUE"""),43858)</f>
        <v>43858</v>
      </c>
      <c r="C115" s="0" t="n">
        <f aca="false">IFERROR(__xludf.dummyfunction("""COMPUTED_VALUE"""),3)</f>
        <v>3</v>
      </c>
      <c r="D115" s="0" t="str">
        <f aca="false">IFERROR(__xludf.dummyfunction("""COMPUTED_VALUE"""),"AICI201805-26-1| A1: Exponer claramente las motivaciones que se presentan para generar un cambio de condiciones iniciales que conlleven a la suscripción de una modificación del plazo inicialmente pactado de un contrato. - 12/31/2019")</f>
        <v>AICI201805-26-1| A1: Exponer claramente las motivaciones que se presentan para generar un cambio de condiciones iniciales que conlleven a la suscripción de una modificación del plazo inicialmente pactado de un contrato. - 12/31/2019</v>
      </c>
      <c r="E115" s="0" t="str">
        <f aca="false">IFERROR(__xludf.dummyfunction("""COMPUTED_VALUE"""),"Frente al proceso contractual se realizó una prorroga en tiempo y dos adiciones  en dinero teniendo en cuenta la disponibilidad financiera de la entidad. 
Se adjuntan la Prorroga y las adiciones al contrato.
Se recomienda tener en cuenta las observaciones"&amp;" hechas en el proceso de auditoria")</f>
        <v>Frente al proceso contractual se realizó una prorroga en tiempo y dos adiciones  en dinero teniendo en cuenta la disponibilidad financiera de la entidad. 
Se adjuntan la Prorroga y las adiciones al contrato.
Se recomienda tener en cuenta las observaciones hechas en el proceso de auditoria</v>
      </c>
      <c r="F115" s="0" t="str">
        <f aca="false">IFERROR(__xludf.dummyfunction("""COMPUTED_VALUE"""),"Completo")</f>
        <v>Completo</v>
      </c>
    </row>
    <row r="116" customFormat="false" ht="14.25" hidden="false" customHeight="false" outlineLevel="0" collapsed="false">
      <c r="A116" s="18" t="str">
        <f aca="false">IFERROR(MID(D116,1,FIND("|",D116)-1)&amp;"-"&amp;C116,"")</f>
        <v>AICI201805-26-2-3</v>
      </c>
      <c r="B116" s="19" t="n">
        <f aca="false">IFERROR(__xludf.dummyfunction("""COMPUTED_VALUE"""),43858)</f>
        <v>43858</v>
      </c>
      <c r="C116" s="0" t="n">
        <f aca="false">IFERROR(__xludf.dummyfunction("""COMPUTED_VALUE"""),3)</f>
        <v>3</v>
      </c>
      <c r="D116" s="0" t="str">
        <f aca="false">IFERROR(__xludf.dummyfunction("""COMPUTED_VALUE"""),"AICI201805-26-2| A2: Diligenciar claramente el formato de solicitud de modificación del contrato y documentar si es necesario mediante anexos, la motivación de dicha modificación. - 12/31/2019")</f>
        <v>AICI201805-26-2| A2: Diligenciar claramente el formato de solicitud de modificación del contrato y documentar si es necesario mediante anexos, la motivación de dicha modificación. - 12/31/2019</v>
      </c>
      <c r="E116" s="0" t="str">
        <f aca="false">IFERROR(__xludf.dummyfunction("""COMPUTED_VALUE"""),"Frente al proceso contractual se realizó una prorroga en tiempo y dos adiciones  en dinero teniendo en cuenta la disponibilidad financiera de la entidad. 
Se adjuntan la Prorroga y las adiciones al contrato.
Se recomienda tener en cuenta las observaciones"&amp;" hechas en el proceso de auditoria")</f>
        <v>Frente al proceso contractual se realizó una prorroga en tiempo y dos adiciones  en dinero teniendo en cuenta la disponibilidad financiera de la entidad. 
Se adjuntan la Prorroga y las adiciones al contrato.
Se recomienda tener en cuenta las observaciones hechas en el proceso de auditoria</v>
      </c>
      <c r="F116" s="0" t="str">
        <f aca="false">IFERROR(__xludf.dummyfunction("""COMPUTED_VALUE"""),"Completo")</f>
        <v>Completo</v>
      </c>
    </row>
    <row r="117" customFormat="false" ht="14.25" hidden="false" customHeight="false" outlineLevel="0" collapsed="false">
      <c r="A117" s="18" t="str">
        <f aca="false">IFERROR(MID(D117,1,FIND("|",D117)-1)&amp;"-"&amp;C117,"")</f>
        <v>AICI201805-26-3-3</v>
      </c>
      <c r="B117" s="19" t="n">
        <f aca="false">IFERROR(__xludf.dummyfunction("""COMPUTED_VALUE"""),43858)</f>
        <v>43858</v>
      </c>
      <c r="C117" s="0" t="n">
        <f aca="false">IFERROR(__xludf.dummyfunction("""COMPUTED_VALUE"""),3)</f>
        <v>3</v>
      </c>
      <c r="D117" s="0" t="str">
        <f aca="false">IFERROR(__xludf.dummyfunction("""COMPUTED_VALUE"""),"AICI201805-26-3| A3: Remitir a la Dirección de Contratación junto con la solicitud de OTROSI de contrato los soportes suficientes que acrediten la necesidad y aporbación de la modificación. - 12/31/2019")</f>
        <v>AICI201805-26-3| A3: Remitir a la Dirección de Contratación junto con la solicitud de OTROSI de contrato los soportes suficientes que acrediten la necesidad y aporbación de la modificación. - 12/31/2019</v>
      </c>
      <c r="E117" s="0" t="str">
        <f aca="false">IFERROR(__xludf.dummyfunction("""COMPUTED_VALUE"""),"Frente al proceso contractual se realizó una prorroga en tiempo y dos adiciones  en dinero teniendo en cuenta la disponibilidad financiera de la entidad. 
Se adjuntan la Prorroga y las adiciones al contrato.
Se recomienda tener en cuenta las observaciones"&amp;" hechas en el proceso de auditoria")</f>
        <v>Frente al proceso contractual se realizó una prorroga en tiempo y dos adiciones  en dinero teniendo en cuenta la disponibilidad financiera de la entidad. 
Se adjuntan la Prorroga y las adiciones al contrato.
Se recomienda tener en cuenta las observaciones hechas en el proceso de auditoria</v>
      </c>
      <c r="F117" s="0" t="str">
        <f aca="false">IFERROR(__xludf.dummyfunction("""COMPUTED_VALUE"""),"Completo")</f>
        <v>Completo</v>
      </c>
    </row>
    <row r="118" customFormat="false" ht="14.25" hidden="false" customHeight="false" outlineLevel="0" collapsed="false">
      <c r="A118" s="18" t="str">
        <f aca="false">IFERROR(MID(D118,1,FIND("|",D118)-1)&amp;"-"&amp;C118,"")</f>
        <v>AICI201805-27-1-3</v>
      </c>
      <c r="B118" s="19" t="n">
        <f aca="false">IFERROR(__xludf.dummyfunction("""COMPUTED_VALUE"""),43858)</f>
        <v>43858</v>
      </c>
      <c r="C118" s="0" t="n">
        <f aca="false">IFERROR(__xludf.dummyfunction("""COMPUTED_VALUE"""),3)</f>
        <v>3</v>
      </c>
      <c r="D118" s="0" t="str">
        <f aca="false">IFERROR(__xludf.dummyfunction("""COMPUTED_VALUE"""),"AICI201805-27-1| A1: Exponer claramente las motivaciones que se presentan para generar un cambio de condiciones iniciales que conlleven a la suscripción de una modificación del plazo inicialmente pactado de un contrato. - 12/31/2019")</f>
        <v>AICI201805-27-1| A1: Exponer claramente las motivaciones que se presentan para generar un cambio de condiciones iniciales que conlleven a la suscripción de una modificación del plazo inicialmente pactado de un contrato. - 12/31/2019</v>
      </c>
      <c r="E118" s="0" t="str">
        <f aca="false">IFERROR(__xludf.dummyfunction("""COMPUTED_VALUE"""),"Frente al proceso contractual se realizó una prorroga en tiempo y dos adiciones  en dinero teniendo en cuenta la disponibilidad financiera de la entidad. 
Se adjuntan la Prorroga y las adiciones al contrato.
Se recomienda tener en cuenta las observaciones"&amp;" hechas en el proceso de auditoria")</f>
        <v>Frente al proceso contractual se realizó una prorroga en tiempo y dos adiciones  en dinero teniendo en cuenta la disponibilidad financiera de la entidad. 
Se adjuntan la Prorroga y las adiciones al contrato.
Se recomienda tener en cuenta las observaciones hechas en el proceso de auditoria</v>
      </c>
      <c r="F118" s="0" t="str">
        <f aca="false">IFERROR(__xludf.dummyfunction("""COMPUTED_VALUE"""),"Completo")</f>
        <v>Completo</v>
      </c>
    </row>
    <row r="119" customFormat="false" ht="14.25" hidden="false" customHeight="false" outlineLevel="0" collapsed="false">
      <c r="A119" s="18" t="str">
        <f aca="false">IFERROR(MID(D119,1,FIND("|",D119)-1)&amp;"-"&amp;C119,"")</f>
        <v>AICI201805-27-2-3</v>
      </c>
      <c r="B119" s="19" t="n">
        <f aca="false">IFERROR(__xludf.dummyfunction("""COMPUTED_VALUE"""),43858)</f>
        <v>43858</v>
      </c>
      <c r="C119" s="0" t="n">
        <f aca="false">IFERROR(__xludf.dummyfunction("""COMPUTED_VALUE"""),3)</f>
        <v>3</v>
      </c>
      <c r="D119" s="0" t="str">
        <f aca="false">IFERROR(__xludf.dummyfunction("""COMPUTED_VALUE"""),"AICI201805-27-2| A2: Diligenciar claramente el formato de solicitud de modificación del contrato y documentar si es necesario mediante anexos, la motivación de dicha modificación. - 12/31/2019")</f>
        <v>AICI201805-27-2| A2: Diligenciar claramente el formato de solicitud de modificación del contrato y documentar si es necesario mediante anexos, la motivación de dicha modificación. - 12/31/2019</v>
      </c>
      <c r="E119" s="0" t="str">
        <f aca="false">IFERROR(__xludf.dummyfunction("""COMPUTED_VALUE"""),"Frente al proceso contractual se realizó una prorroga en tiempo y dos adiciones  en dinero teniendo en cuenta la disponibilidad financiera de la entidad. 
Se adjuntan la Prorroga y las adiciones al contrato.
Se recomienda tener en cuenta las observaciones"&amp;" hechas en el proceso de auditoria")</f>
        <v>Frente al proceso contractual se realizó una prorroga en tiempo y dos adiciones  en dinero teniendo en cuenta la disponibilidad financiera de la entidad. 
Se adjuntan la Prorroga y las adiciones al contrato.
Se recomienda tener en cuenta las observaciones hechas en el proceso de auditoria</v>
      </c>
      <c r="F119" s="0" t="str">
        <f aca="false">IFERROR(__xludf.dummyfunction("""COMPUTED_VALUE"""),"Completo")</f>
        <v>Completo</v>
      </c>
    </row>
    <row r="120" customFormat="false" ht="14.25" hidden="false" customHeight="false" outlineLevel="0" collapsed="false">
      <c r="A120" s="18" t="str">
        <f aca="false">IFERROR(MID(D120,1,FIND("|",D120)-1)&amp;"-"&amp;C120,"")</f>
        <v>AICI201805-27-3-3</v>
      </c>
      <c r="B120" s="19" t="n">
        <f aca="false">IFERROR(__xludf.dummyfunction("""COMPUTED_VALUE"""),43858)</f>
        <v>43858</v>
      </c>
      <c r="C120" s="0" t="n">
        <f aca="false">IFERROR(__xludf.dummyfunction("""COMPUTED_VALUE"""),3)</f>
        <v>3</v>
      </c>
      <c r="D120" s="0" t="str">
        <f aca="false">IFERROR(__xludf.dummyfunction("""COMPUTED_VALUE"""),"AICI201805-27-3| A3: Remitir a la Dirección de Contratación junto con la solicitud de OTROSI de contrato los soportes suficientes que acrediten la necesidad y aprobación de la modificación. - 12/31/2019")</f>
        <v>AICI201805-27-3| A3: Remitir a la Dirección de Contratación junto con la solicitud de OTROSI de contrato los soportes suficientes que acrediten la necesidad y aprobación de la modificación. - 12/31/2019</v>
      </c>
      <c r="E120" s="0" t="str">
        <f aca="false">IFERROR(__xludf.dummyfunction("""COMPUTED_VALUE"""),"Frente al proceso contractual se realizó una prorroga en tiempo y dos adiciones  en dinero teniendo en cuenta la disponibilidad financiera de la entidad. 
Se adjuntan la Prorroga y las adiciones al contrato.
Se recomienda tener en cuenta las observaciones"&amp;" hechas en el proceso de auditoria")</f>
        <v>Frente al proceso contractual se realizó una prorroga en tiempo y dos adiciones  en dinero teniendo en cuenta la disponibilidad financiera de la entidad. 
Se adjuntan la Prorroga y las adiciones al contrato.
Se recomienda tener en cuenta las observaciones hechas en el proceso de auditoria</v>
      </c>
      <c r="F120" s="0" t="str">
        <f aca="false">IFERROR(__xludf.dummyfunction("""COMPUTED_VALUE"""),"Completo")</f>
        <v>Completo</v>
      </c>
    </row>
    <row r="121" customFormat="false" ht="14.25" hidden="false" customHeight="false" outlineLevel="0" collapsed="false">
      <c r="A121" s="18" t="str">
        <f aca="false">IFERROR(MID(D121,1,FIND("|",D121)-1)&amp;"-"&amp;C121,"")</f>
        <v>AICI201805-28-1-3</v>
      </c>
      <c r="B121" s="19" t="n">
        <f aca="false">IFERROR(__xludf.dummyfunction("""COMPUTED_VALUE"""),43858)</f>
        <v>43858</v>
      </c>
      <c r="C121" s="0" t="n">
        <f aca="false">IFERROR(__xludf.dummyfunction("""COMPUTED_VALUE"""),3)</f>
        <v>3</v>
      </c>
      <c r="D121" s="0" t="str">
        <f aca="false">IFERROR(__xludf.dummyfunction("""COMPUTED_VALUE"""),"AICI201805-28-1| A1: Diligenciar claramente el formato de solicitud de modificación del contrato y documentar si es necesario mediante anexos, la descripción de dicha modificación para la elaboración de la minuta correspondiente. - 12/31/2019")</f>
        <v>AICI201805-28-1| A1: Diligenciar claramente el formato de solicitud de modificación del contrato y documentar si es necesario mediante anexos, la descripción de dicha modificación para la elaboración de la minuta correspondiente. - 12/31/2019</v>
      </c>
      <c r="E121" s="0" t="str">
        <f aca="false">IFERROR(__xludf.dummyfunction("""COMPUTED_VALUE"""),"Frente al proceso contractual se realizó una prorroga en tiempo y dos adiciones  en dinero teniendo en cuenta la disponibilidad financiera de la entidad. 
Se adjuntan la Prorroga y las adiciones al contrato.
Se recomienda tener en cuenta las observaciones"&amp;" hechas en el proceso de auditoria")</f>
        <v>Frente al proceso contractual se realizó una prorroga en tiempo y dos adiciones  en dinero teniendo en cuenta la disponibilidad financiera de la entidad. 
Se adjuntan la Prorroga y las adiciones al contrato.
Se recomienda tener en cuenta las observaciones hechas en el proceso de auditoria</v>
      </c>
      <c r="F121" s="0" t="str">
        <f aca="false">IFERROR(__xludf.dummyfunction("""COMPUTED_VALUE"""),"Completo")</f>
        <v>Completo</v>
      </c>
    </row>
    <row r="122" customFormat="false" ht="14.25" hidden="false" customHeight="false" outlineLevel="0" collapsed="false">
      <c r="A122" s="18" t="str">
        <f aca="false">IFERROR(MID(D122,1,FIND("|",D122)-1)&amp;"-"&amp;C122,"")</f>
        <v>AICI201805-29-1-3</v>
      </c>
      <c r="B122" s="19" t="n">
        <f aca="false">IFERROR(__xludf.dummyfunction("""COMPUTED_VALUE"""),43858)</f>
        <v>43858</v>
      </c>
      <c r="C122" s="0" t="n">
        <f aca="false">IFERROR(__xludf.dummyfunction("""COMPUTED_VALUE"""),3)</f>
        <v>3</v>
      </c>
      <c r="D122" s="0" t="str">
        <f aca="false">IFERROR(__xludf.dummyfunction("""COMPUTED_VALUE"""),"AICI201805-29-1| Elaborar una circular interna que establezca los mecanismos de control del uso de la dotación de acuerdo a cada perfiel ocupacional de los funcionarios que reciben el beneficio. - 6/30/2019")</f>
        <v>AICI201805-29-1| Elaborar una circular interna que establezca los mecanismos de control del uso de la dotación de acuerdo a cada perfiel ocupacional de los funcionarios que reciben el beneficio. - 6/30/2019</v>
      </c>
      <c r="E122" s="0" t="str">
        <f aca="false">IFERROR(__xludf.dummyfunction("""COMPUTED_VALUE"""),"La Gerencia emitió la circular No. 16, sobre la Obligatoriedad del uso debido de las dotaciones de calzado y vestido de labor.")</f>
        <v>La Gerencia emitió la circular No. 16, sobre la Obligatoriedad del uso debido de las dotaciones de calzado y vestido de labor.</v>
      </c>
      <c r="F122" s="0" t="str">
        <f aca="false">IFERROR(__xludf.dummyfunction("""COMPUTED_VALUE"""),"Completo")</f>
        <v>Completo</v>
      </c>
    </row>
    <row r="123" customFormat="false" ht="14.25" hidden="false" customHeight="false" outlineLevel="0" collapsed="false">
      <c r="A123" s="18" t="str">
        <f aca="false">IFERROR(MID(D123,1,FIND("|",D123)-1)&amp;"-"&amp;C123,"")</f>
        <v>AICI201805-7-1-4</v>
      </c>
      <c r="B123" s="19" t="n">
        <f aca="false">IFERROR(__xludf.dummyfunction("""COMPUTED_VALUE"""),44047)</f>
        <v>44047</v>
      </c>
      <c r="C123" s="0" t="n">
        <f aca="false">IFERROR(__xludf.dummyfunction("""COMPUTED_VALUE"""),4)</f>
        <v>4</v>
      </c>
      <c r="D123" s="0" t="str">
        <f aca="false">IFERROR(__xludf.dummyfunction("""COMPUTED_VALUE"""),"AICI201805-7-1| Elaborar un instructivo para la conciliacion mensual de saldos con los Fondos de cesantias del convenio de retroactividad. - 9/30/2019")</f>
        <v>AICI201805-7-1| Elaborar un instructivo para la conciliacion mensual de saldos con los Fondos de cesantias del convenio de retroactividad. - 9/30/2019</v>
      </c>
      <c r="E123" s="0" t="str">
        <f aca="false">IFERROR(__xludf.dummyfunction("""COMPUTED_VALUE"""),"Teniendo en cuenta la observación presentada por la Oficina de Control Interno, la Dirección de Talento Humano se encuentra ajustando el instructivo correspondiente a la  conciliación mensual de  saldos con el  Fondo de Cesantias del convenio de retroacti"&amp;"vidad así como la formalización en el Sistema de Gestión Documental.")</f>
        <v>Teniendo en cuenta la observación presentada por la Oficina de Control Interno, la Dirección de Talento Humano se encuentra ajustando el instructivo correspondiente a la  conciliación mensual de  saldos con el  Fondo de Cesantias del convenio de retroactividad así como la formalización en el Sistema de Gestión Documental.</v>
      </c>
      <c r="F123" s="0" t="str">
        <f aca="false">IFERROR(__xludf.dummyfunction("""COMPUTED_VALUE"""),"En desarrollo")</f>
        <v>En desarrollo</v>
      </c>
    </row>
    <row r="124" customFormat="false" ht="14.25" hidden="false" customHeight="false" outlineLevel="0" collapsed="false">
      <c r="A124" s="18" t="str">
        <f aca="false">IFERROR(MID(D124,1,FIND("|",D124)-1)&amp;"-"&amp;C124,"")</f>
        <v>AICI201805-10-2-4</v>
      </c>
      <c r="B124" s="19" t="n">
        <f aca="false">IFERROR(__xludf.dummyfunction("""COMPUTED_VALUE"""),44047)</f>
        <v>44047</v>
      </c>
      <c r="C124" s="0" t="n">
        <f aca="false">IFERROR(__xludf.dummyfunction("""COMPUTED_VALUE"""),4)</f>
        <v>4</v>
      </c>
      <c r="D124" s="0" t="str">
        <f aca="false">IFERROR(__xludf.dummyfunction("""COMPUTED_VALUE"""),"AICI201805-10-2| A2: Hacer seguimiento a la gestión de cobro que desarrolla Cartera de los recursos del Sistema General de Participaciones. - 9/30/2019")</f>
        <v>AICI201805-10-2| A2: Hacer seguimiento a la gestión de cobro que desarrolla Cartera de los recursos del Sistema General de Participaciones. - 9/30/2019</v>
      </c>
      <c r="E124" s="0" t="str">
        <f aca="false">IFERROR(__xludf.dummyfunction("""COMPUTED_VALUE"""),"La acción propuesta por el área auditada es ""Hacer seguimiento a la gestión de cobro que desarrolla Cartera de los recursos del Sistema General de Participaciones""; y teniendo en cuenta  que la Dirección de Talento Humano, debió asumir el proceso de cob"&amp;"ro, se realiza gestión de cobro y saneamiento para las vigencias 1994-2011 de valores consignados por las entidades sin registrar  por un valor de  $ 345.258.452 y gestión de cobro para las vigencias 2012-2016  y se recaudo $ 391.865.275")</f>
        <v>La acción propuesta por el área auditada es "Hacer seguimiento a la gestión de cobro que desarrolla Cartera de los recursos del Sistema General de Participaciones"; y teniendo en cuenta  que la Dirección de Talento Humano, debió asumir el proceso de cobro, se realiza gestión de cobro y saneamiento para las vigencias 1994-2011 de valores consignados por las entidades sin registrar  por un valor de  $ 345.258.452 y gestión de cobro para las vigencias 2012-2016  y se recaudo $ 391.865.275</v>
      </c>
      <c r="F124" s="0" t="str">
        <f aca="false">IFERROR(__xludf.dummyfunction("""COMPUTED_VALUE"""),"Completo")</f>
        <v>Completo</v>
      </c>
    </row>
    <row r="125" customFormat="false" ht="14.25" hidden="false" customHeight="false" outlineLevel="0" collapsed="false">
      <c r="A125" s="18" t="str">
        <f aca="false">IFERROR(MID(D125,1,FIND("|",D125)-1)&amp;"-"&amp;C125,"")</f>
        <v>AICI201805-10-3-4</v>
      </c>
      <c r="B125" s="19" t="n">
        <f aca="false">IFERROR(__xludf.dummyfunction("""COMPUTED_VALUE"""),44047)</f>
        <v>44047</v>
      </c>
      <c r="C125" s="0" t="n">
        <f aca="false">IFERROR(__xludf.dummyfunction("""COMPUTED_VALUE"""),4)</f>
        <v>4</v>
      </c>
      <c r="D125" s="0" t="str">
        <f aca="false">IFERROR(__xludf.dummyfunction("""COMPUTED_VALUE"""),"AICI201805-10-3| A3: Realizar conforme a lo gestionado por Cartera la actualización de información en la Matriz de saneamiento de Aportes Patronales. - 9/30/2019")</f>
        <v>AICI201805-10-3| A3: Realizar conforme a lo gestionado por Cartera la actualización de información en la Matriz de saneamiento de Aportes Patronales. - 9/30/2019</v>
      </c>
      <c r="E125" s="0" t="str">
        <f aca="false">IFERROR(__xludf.dummyfunction("""COMPUTED_VALUE"""),"Para contribuir en la actualización de información de la Matriz de saneamiento de Aportes Patronales, se realizo fichas de saneamiento con los Saldos de Actas Conciliadas fuera de términos y Actas de de Entidades liquidadas cifras que no son objeto de cob"&amp;"ro.  Esto se hizo con corte a 30 de Marzo de 2020 por un valor de $123.409.216.
A partir la vigencia 2017 se inicio con el proceso de pago a través de la cuenta maestra lo que significa que los pagos se realizan por medio del operador MI PLANILLA sobre e"&amp;"l total  de los trabajadores reportados mes a mes.")</f>
        <v>Para contribuir en la actualización de información de la Matriz de saneamiento de Aportes Patronales, se realizo fichas de saneamiento con los Saldos de Actas Conciliadas fuera de términos y Actas de de Entidades liquidadas cifras que no son objeto de cobro.  Esto se hizo con corte a 30 de Marzo de 2020 por un valor de $123.409.216.
A partir la vigencia 2017 se inicio con el proceso de pago a través de la cuenta maestra lo que significa que los pagos se realizan por medio del operador MI PLANILLA sobre el total  de los trabajadores reportados mes a mes.</v>
      </c>
      <c r="F125" s="0" t="str">
        <f aca="false">IFERROR(__xludf.dummyfunction("""COMPUTED_VALUE"""),"Completo")</f>
        <v>Completo</v>
      </c>
    </row>
    <row r="126" customFormat="false" ht="14.25" hidden="false" customHeight="false" outlineLevel="0" collapsed="false">
      <c r="A126" s="18" t="str">
        <f aca="false">IFERROR(MID(D126,1,FIND("|",D126)-1)&amp;"-"&amp;C126,"")</f>
        <v>AICI201805-15-1-4</v>
      </c>
      <c r="B126" s="19" t="n">
        <f aca="false">IFERROR(__xludf.dummyfunction("""COMPUTED_VALUE"""),44047)</f>
        <v>44047</v>
      </c>
      <c r="C126" s="0" t="n">
        <f aca="false">IFERROR(__xludf.dummyfunction("""COMPUTED_VALUE"""),4)</f>
        <v>4</v>
      </c>
      <c r="D126" s="0" t="str">
        <f aca="false">IFERROR(__xludf.dummyfunction("""COMPUTED_VALUE"""),"AICI201805-15-1| Ajustar la Politica de Seguridad y Salud en el Trabajo que comtemple los elementos de justificación, alcance, identificación de riesgos, campo de aplicación y cumpla con los requerido en el Decreto 1072 - 2015 frente a la fecha y firma de"&amp;"l Represenatnte legal. - 5/30/2019")</f>
        <v>AICI201805-15-1| Ajustar la Politica de Seguridad y Salud en el Trabajo que comtemple los elementos de justificación, alcance, identificación de riesgos, campo de aplicación y cumpla con los requerido en el Decreto 1072 - 2015 frente a la fecha y firma del Represenatnte legal. - 5/30/2019</v>
      </c>
      <c r="E126" s="0" t="str">
        <f aca="false">IFERROR(__xludf.dummyfunction("""COMPUTED_VALUE"""),"Se expidió la Resolución 364 del 4 de julio de 2019, mediante la cual se establece la Política de Seguridad y Salud en el trabajo y los objetivos del sistema, como parte de las políticas institucionales y de la plataforma estratégica de la Subred.
Se reco"&amp;"mienda tener en cuenta que la Política se Seguridad y Salud en el trabajo debe ser difundida a todos los niveles de la organización y estar accesible a todos los trabajadores y demás partes interesadas, en el lugar de trabajo y ser revisada como mínimo un"&amp;"a vez al año y de requerirse, actualizarla acorde con los cambios tanto en materia de Seguridad y Salud en el Trabajo como en la empresa.")</f>
        <v>Se expidió la Resolución 364 del 4 de julio de 2019, mediante la cual se establece la Política de Seguridad y Salud en el trabajo y los objetivos del sistema, como parte de las políticas institucionales y de la plataforma estratégica de la Subred.
Se recomienda tener en cuenta que la Política se Seguridad y Salud en el trabajo debe ser difundida a todos los niveles de la organización y estar accesible a todos los trabajadores y demás partes interesadas, en el lugar de trabajo y ser revisada como mínimo una vez al año y de requerirse, actualizarla acorde con los cambios tanto en materia de Seguridad y Salud en el Trabajo como en la empresa.</v>
      </c>
      <c r="F126" s="0" t="str">
        <f aca="false">IFERROR(__xludf.dummyfunction("""COMPUTED_VALUE"""),"Completo")</f>
        <v>Completo</v>
      </c>
    </row>
    <row r="127" customFormat="false" ht="14.25" hidden="false" customHeight="false" outlineLevel="0" collapsed="false">
      <c r="A127" s="18" t="str">
        <f aca="false">IFERROR(MID(D127,1,FIND("|",D127)-1)&amp;"-"&amp;C127,"")</f>
        <v>AICI201805-16-1-4</v>
      </c>
      <c r="B127" s="19" t="n">
        <f aca="false">IFERROR(__xludf.dummyfunction("""COMPUTED_VALUE"""),44047)</f>
        <v>44047</v>
      </c>
      <c r="C127" s="0" t="n">
        <f aca="false">IFERROR(__xludf.dummyfunction("""COMPUTED_VALUE"""),4)</f>
        <v>4</v>
      </c>
      <c r="D127" s="0" t="str">
        <f aca="false">IFERROR(__xludf.dummyfunction("""COMPUTED_VALUE"""),"AICI201805-16-1| Divulgar el documento ajustado de la Política de Seguridad y Salud en el Trabajo de la entidad, debidamente firmado por el Representante Legal. - 5/30/2019")</f>
        <v>AICI201805-16-1| Divulgar el documento ajustado de la Política de Seguridad y Salud en el Trabajo de la entidad, debidamente firmado por el Representante Legal. - 5/30/2019</v>
      </c>
      <c r="E127" s="0" t="str">
        <f aca="false">IFERROR(__xludf.dummyfunction("""COMPUTED_VALUE"""),"Dentro de las estrategias para la divulgación de la política se establecieron las siguientes acciones teniendo en cuenta la pluralidad de medios que se manejan en la organización y la facilidad de los trabajadores para acceder a ellos: 
1. Socialización "&amp;"por la Web de la entidad- Gestión Documental
2. A través de boletín de la Subred Norte")</f>
        <v>Dentro de las estrategias para la divulgación de la política se establecieron las siguientes acciones teniendo en cuenta la pluralidad de medios que se manejan en la organización y la facilidad de los trabajadores para acceder a ellos: 
1. Socialización por la Web de la entidad- Gestión Documental
2. A través de boletín de la Subred Norte</v>
      </c>
      <c r="F127" s="0" t="str">
        <f aca="false">IFERROR(__xludf.dummyfunction("""COMPUTED_VALUE"""),"Completo")</f>
        <v>Completo</v>
      </c>
    </row>
    <row r="128" customFormat="false" ht="14.25" hidden="false" customHeight="false" outlineLevel="0" collapsed="false">
      <c r="A128" s="18" t="str">
        <f aca="false">IFERROR(MID(D128,1,FIND("|",D128)-1)&amp;"-"&amp;C128,"")</f>
        <v>AICI201805-17-1-4</v>
      </c>
      <c r="B128" s="19" t="n">
        <f aca="false">IFERROR(__xludf.dummyfunction("""COMPUTED_VALUE"""),44047)</f>
        <v>44047</v>
      </c>
      <c r="C128" s="0" t="n">
        <f aca="false">IFERROR(__xludf.dummyfunction("""COMPUTED_VALUE"""),4)</f>
        <v>4</v>
      </c>
      <c r="D128" s="0" t="str">
        <f aca="false">IFERROR(__xludf.dummyfunction("""COMPUTED_VALUE"""),"AICI201805-17-1| Elaborar el documento Plan de Acción para la vigencia 2019 conforme a los lineamientos fijados en el Decreto No.1072-2015 Artículo 2.2.4.6.17. - 3/31/2019")</f>
        <v>AICI201805-17-1| Elaborar el documento Plan de Acción para la vigencia 2019 conforme a los lineamientos fijados en el Decreto No.1072-2015 Artículo 2.2.4.6.17. - 3/31/2019</v>
      </c>
      <c r="E128" s="0" t="str">
        <f aca="false">IFERROR(__xludf.dummyfunction("""COMPUTED_VALUE"""),"Se anexa el Plan Sistema de Gestión de la Seguridad y Salud en el Trabajo - Vigencia 2020, Plan de trabajo - CÓDIGO: AP-TH-PL-03-02 del 27 de enero de 2020 - Versión 2")</f>
        <v>Se anexa el Plan Sistema de Gestión de la Seguridad y Salud en el Trabajo - Vigencia 2020, Plan de trabajo - CÓDIGO: AP-TH-PL-03-02 del 27 de enero de 2020 - Versión 2</v>
      </c>
      <c r="F128" s="0" t="str">
        <f aca="false">IFERROR(__xludf.dummyfunction("""COMPUTED_VALUE"""),"Completo")</f>
        <v>Completo</v>
      </c>
    </row>
    <row r="129" customFormat="false" ht="14.25" hidden="false" customHeight="false" outlineLevel="0" collapsed="false">
      <c r="A129" s="18" t="str">
        <f aca="false">IFERROR(MID(D129,1,FIND("|",D129)-1)&amp;"-"&amp;C129,"")</f>
        <v>AICI201805-7-1-5</v>
      </c>
      <c r="B129" s="19" t="n">
        <f aca="false">IFERROR(__xludf.dummyfunction("""COMPUTED_VALUE"""),44658)</f>
        <v>44658</v>
      </c>
      <c r="C129" s="0" t="n">
        <f aca="false">IFERROR(__xludf.dummyfunction("""COMPUTED_VALUE"""),5)</f>
        <v>5</v>
      </c>
      <c r="D129" s="0" t="str">
        <f aca="false">IFERROR(__xludf.dummyfunction("""COMPUTED_VALUE"""),"AICI201805-7-1| Elaborar un instructivo para la conciliacion mensual de saldos con los Fondos de cesantias del convenio de retroactividad. - 9/30/2019")</f>
        <v>AICI201805-7-1| Elaborar un instructivo para la conciliacion mensual de saldos con los Fondos de cesantias del convenio de retroactividad. - 9/30/2019</v>
      </c>
      <c r="E129" s="0" t="str">
        <f aca="false">IFERROR(__xludf.dummyfunction("""COMPUTED_VALUE"""),"Se elaboró el Instructivo para Conciliación de Cesantias - CÓDIGO: AP-TH-I-31-01 el 16/03/2022, con el objetivo de dar los lineamientos para la conciliación de las cesantias de los funcionarios que ostentan el régimen de retroactividad y definitivas del r"&amp;"égimen ley 50, con el fin de verificar los valores autorizados y los valores cancelados por los fondos de cesantias.
")</f>
        <v>Se elaboró el Instructivo para Conciliación de Cesantias - CÓDIGO: AP-TH-I-31-01 el 16/03/2022, con el objetivo de dar los lineamientos para la conciliación de las cesantias de los funcionarios que ostentan el régimen de retroactividad y definitivas del régimen ley 50, con el fin de verificar los valores autorizados y los valores cancelados por los fondos de cesantias.
</v>
      </c>
      <c r="F129" s="0" t="str">
        <f aca="false">IFERROR(__xludf.dummyfunction("""COMPUTED_VALUE"""),"Completo")</f>
        <v>Completo</v>
      </c>
      <c r="G129" s="0" t="str">
        <f aca="false">IFERROR(__xludf.dummyfunction("""COMPUTED_VALUE"""),"Sí")</f>
        <v>Sí</v>
      </c>
    </row>
    <row r="130" customFormat="false" ht="14.25" hidden="false" customHeight="false" outlineLevel="0" collapsed="false">
      <c r="A130" s="18" t="str">
        <f aca="false">IFERROR(MID(D130,1,FIND("|",D130)-1)&amp;"-"&amp;C130,"")</f>
        <v/>
      </c>
    </row>
    <row r="131" customFormat="false" ht="14.25" hidden="false" customHeight="false" outlineLevel="0" collapsed="false">
      <c r="A131" s="18" t="str">
        <f aca="false">IFERROR(MID(D131,1,FIND("|",D131)-1)&amp;"-"&amp;C131,"")</f>
        <v/>
      </c>
    </row>
    <row r="132" customFormat="false" ht="14.25" hidden="false" customHeight="false" outlineLevel="0" collapsed="false">
      <c r="A132" s="18" t="str">
        <f aca="false">IFERROR(MID(D132,1,FIND("|",D132)-1)&amp;"-"&amp;C132,"")</f>
        <v/>
      </c>
    </row>
    <row r="133" customFormat="false" ht="14.25" hidden="false" customHeight="false" outlineLevel="0" collapsed="false">
      <c r="A133" s="18" t="str">
        <f aca="false">IFERROR(MID(D133,1,FIND("|",D133)-1)&amp;"-"&amp;C133,"")</f>
        <v/>
      </c>
    </row>
    <row r="134" customFormat="false" ht="14.25" hidden="false" customHeight="false" outlineLevel="0" collapsed="false">
      <c r="A134" s="18" t="str">
        <f aca="false">IFERROR(MID(D134,1,FIND("|",D134)-1)&amp;"-"&amp;C134,"")</f>
        <v/>
      </c>
    </row>
    <row r="135" customFormat="false" ht="14.25" hidden="false" customHeight="false" outlineLevel="0" collapsed="false">
      <c r="A135" s="18" t="str">
        <f aca="false">IFERROR(MID(D135,1,FIND("|",D135)-1)&amp;"-"&amp;C135,"")</f>
        <v/>
      </c>
    </row>
    <row r="136" customFormat="false" ht="14.25" hidden="false" customHeight="false" outlineLevel="0" collapsed="false">
      <c r="A136" s="18" t="str">
        <f aca="false">IFERROR(MID(D136,1,FIND("|",D136)-1)&amp;"-"&amp;C136,"")</f>
        <v/>
      </c>
    </row>
    <row r="137" customFormat="false" ht="14.25" hidden="false" customHeight="false" outlineLevel="0" collapsed="false">
      <c r="A137" s="18" t="str">
        <f aca="false">IFERROR(MID(D137,1,FIND("|",D137)-1)&amp;"-"&amp;C137,"")</f>
        <v/>
      </c>
    </row>
    <row r="138" customFormat="false" ht="14.25" hidden="false" customHeight="false" outlineLevel="0" collapsed="false">
      <c r="A138" s="18" t="str">
        <f aca="false">IFERROR(MID(D138,1,FIND("|",D138)-1)&amp;"-"&amp;C138,"")</f>
        <v/>
      </c>
    </row>
    <row r="139" customFormat="false" ht="14.25" hidden="false" customHeight="false" outlineLevel="0" collapsed="false">
      <c r="A139" s="18" t="str">
        <f aca="false">IFERROR(MID(D139,1,FIND("|",D139)-1)&amp;"-"&amp;C139,"")</f>
        <v/>
      </c>
    </row>
    <row r="140" customFormat="false" ht="14.25" hidden="false" customHeight="false" outlineLevel="0" collapsed="false">
      <c r="A140" s="18" t="str">
        <f aca="false">IFERROR(MID(D140,1,FIND("|",D140)-1)&amp;"-"&amp;C140,"")</f>
        <v/>
      </c>
    </row>
    <row r="141" customFormat="false" ht="14.25" hidden="false" customHeight="false" outlineLevel="0" collapsed="false">
      <c r="A141" s="18" t="str">
        <f aca="false">IFERROR(MID(D141,1,FIND("|",D141)-1)&amp;"-"&amp;C141,"")</f>
        <v/>
      </c>
    </row>
    <row r="142" customFormat="false" ht="14.25" hidden="false" customHeight="false" outlineLevel="0" collapsed="false">
      <c r="A142" s="18" t="str">
        <f aca="false">IFERROR(MID(D142,1,FIND("|",D142)-1)&amp;"-"&amp;C142,"")</f>
        <v/>
      </c>
    </row>
    <row r="143" customFormat="false" ht="14.25" hidden="false" customHeight="false" outlineLevel="0" collapsed="false">
      <c r="A143" s="18" t="str">
        <f aca="false">IFERROR(MID(D143,1,FIND("|",D143)-1)&amp;"-"&amp;C143,"")</f>
        <v/>
      </c>
    </row>
    <row r="144" customFormat="false" ht="14.25" hidden="false" customHeight="false" outlineLevel="0" collapsed="false">
      <c r="A144" s="18" t="str">
        <f aca="false">IFERROR(MID(D144,1,FIND("|",D144)-1)&amp;"-"&amp;C144,"")</f>
        <v/>
      </c>
    </row>
    <row r="145" customFormat="false" ht="14.25" hidden="false" customHeight="false" outlineLevel="0" collapsed="false">
      <c r="A145" s="18" t="str">
        <f aca="false">IFERROR(MID(D145,1,FIND("|",D145)-1)&amp;"-"&amp;C145,"")</f>
        <v/>
      </c>
    </row>
    <row r="146" customFormat="false" ht="14.25" hidden="false" customHeight="false" outlineLevel="0" collapsed="false">
      <c r="A146" s="18" t="str">
        <f aca="false">IFERROR(MID(D146,1,FIND("|",D146)-1)&amp;"-"&amp;C146,"")</f>
        <v/>
      </c>
    </row>
    <row r="147" customFormat="false" ht="14.25" hidden="false" customHeight="false" outlineLevel="0" collapsed="false">
      <c r="A147" s="18" t="str">
        <f aca="false">IFERROR(MID(D147,1,FIND("|",D147)-1)&amp;"-"&amp;C147,"")</f>
        <v/>
      </c>
    </row>
    <row r="148" customFormat="false" ht="14.25" hidden="false" customHeight="false" outlineLevel="0" collapsed="false">
      <c r="A148" s="18" t="str">
        <f aca="false">IFERROR(MID(D148,1,FIND("|",D148)-1)&amp;"-"&amp;C148,"")</f>
        <v/>
      </c>
    </row>
    <row r="149" customFormat="false" ht="14.25" hidden="false" customHeight="false" outlineLevel="0" collapsed="false">
      <c r="A149" s="18" t="str">
        <f aca="false">IFERROR(MID(D149,1,FIND("|",D149)-1)&amp;"-"&amp;C149,"")</f>
        <v/>
      </c>
    </row>
    <row r="150" customFormat="false" ht="14.25" hidden="false" customHeight="false" outlineLevel="0" collapsed="false">
      <c r="A150" s="18" t="str">
        <f aca="false">IFERROR(MID(D150,1,FIND("|",D150)-1)&amp;"-"&amp;C150,"")</f>
        <v/>
      </c>
    </row>
    <row r="151" customFormat="false" ht="14.25" hidden="false" customHeight="false" outlineLevel="0" collapsed="false">
      <c r="A151" s="18" t="str">
        <f aca="false">IFERROR(MID(D151,1,FIND("|",D151)-1)&amp;"-"&amp;C151,"")</f>
        <v/>
      </c>
    </row>
    <row r="152" customFormat="false" ht="14.25" hidden="false" customHeight="false" outlineLevel="0" collapsed="false">
      <c r="A152" s="18" t="str">
        <f aca="false">IFERROR(MID(D152,1,FIND("|",D152)-1)&amp;"-"&amp;C152,"")</f>
        <v/>
      </c>
    </row>
    <row r="153" customFormat="false" ht="14.25" hidden="false" customHeight="false" outlineLevel="0" collapsed="false">
      <c r="A153" s="18" t="str">
        <f aca="false">IFERROR(MID(D153,1,FIND("|",D153)-1)&amp;"-"&amp;C153,"")</f>
        <v/>
      </c>
    </row>
    <row r="154" customFormat="false" ht="14.25" hidden="false" customHeight="false" outlineLevel="0" collapsed="false">
      <c r="A154" s="18" t="str">
        <f aca="false">IFERROR(MID(D154,1,FIND("|",D154)-1)&amp;"-"&amp;C154,"")</f>
        <v/>
      </c>
    </row>
    <row r="155" customFormat="false" ht="14.25" hidden="false" customHeight="false" outlineLevel="0" collapsed="false">
      <c r="A155" s="18" t="str">
        <f aca="false">IFERROR(MID(D155,1,FIND("|",D155)-1)&amp;"-"&amp;C155,"")</f>
        <v/>
      </c>
    </row>
    <row r="156" customFormat="false" ht="14.25" hidden="false" customHeight="false" outlineLevel="0" collapsed="false">
      <c r="A156" s="18" t="str">
        <f aca="false">IFERROR(MID(D156,1,FIND("|",D156)-1)&amp;"-"&amp;C156,"")</f>
        <v/>
      </c>
    </row>
    <row r="157" customFormat="false" ht="14.25" hidden="false" customHeight="false" outlineLevel="0" collapsed="false">
      <c r="A157" s="18" t="str">
        <f aca="false">IFERROR(MID(D157,1,FIND("|",D157)-1)&amp;"-"&amp;C157,"")</f>
        <v/>
      </c>
    </row>
    <row r="158" customFormat="false" ht="14.25" hidden="false" customHeight="false" outlineLevel="0" collapsed="false">
      <c r="A158" s="18" t="str">
        <f aca="false">IFERROR(MID(D158,1,FIND("|",D158)-1)&amp;"-"&amp;C158,"")</f>
        <v/>
      </c>
    </row>
    <row r="159" customFormat="false" ht="14.25" hidden="false" customHeight="false" outlineLevel="0" collapsed="false">
      <c r="A159" s="18" t="str">
        <f aca="false">IFERROR(MID(D159,1,FIND("|",D159)-1)&amp;"-"&amp;C159,"")</f>
        <v/>
      </c>
    </row>
    <row r="160" customFormat="false" ht="14.25" hidden="false" customHeight="false" outlineLevel="0" collapsed="false">
      <c r="A160" s="18" t="str">
        <f aca="false">IFERROR(MID(D160,1,FIND("|",D160)-1)&amp;"-"&amp;C160,"")</f>
        <v/>
      </c>
    </row>
    <row r="161" customFormat="false" ht="14.25" hidden="false" customHeight="false" outlineLevel="0" collapsed="false">
      <c r="A161" s="18" t="str">
        <f aca="false">IFERROR(MID(D161,1,FIND("|",D161)-1)&amp;"-"&amp;C161,"")</f>
        <v/>
      </c>
    </row>
    <row r="162" customFormat="false" ht="14.25" hidden="false" customHeight="false" outlineLevel="0" collapsed="false">
      <c r="A162" s="18" t="str">
        <f aca="false">IFERROR(MID(D162,1,FIND("|",D162)-1)&amp;"-"&amp;C162,"")</f>
        <v/>
      </c>
    </row>
    <row r="163" customFormat="false" ht="14.25" hidden="false" customHeight="false" outlineLevel="0" collapsed="false">
      <c r="A163" s="18" t="str">
        <f aca="false">IFERROR(MID(D163,1,FIND("|",D163)-1)&amp;"-"&amp;C163,"")</f>
        <v/>
      </c>
    </row>
    <row r="164" customFormat="false" ht="14.25" hidden="false" customHeight="false" outlineLevel="0" collapsed="false">
      <c r="A164" s="18" t="str">
        <f aca="false">IFERROR(MID(D164,1,FIND("|",D164)-1)&amp;"-"&amp;C164,"")</f>
        <v/>
      </c>
    </row>
    <row r="165" customFormat="false" ht="14.25" hidden="false" customHeight="false" outlineLevel="0" collapsed="false">
      <c r="A165" s="18" t="str">
        <f aca="false">IFERROR(MID(D165,1,FIND("|",D165)-1)&amp;"-"&amp;C165,"")</f>
        <v/>
      </c>
    </row>
    <row r="166" customFormat="false" ht="14.25" hidden="false" customHeight="false" outlineLevel="0" collapsed="false">
      <c r="A166" s="18" t="str">
        <f aca="false">IFERROR(MID(D166,1,FIND("|",D166)-1)&amp;"-"&amp;C166,"")</f>
        <v/>
      </c>
    </row>
    <row r="167" customFormat="false" ht="14.25" hidden="false" customHeight="false" outlineLevel="0" collapsed="false">
      <c r="A167" s="18" t="str">
        <f aca="false">IFERROR(MID(D167,1,FIND("|",D167)-1)&amp;"-"&amp;C167,"")</f>
        <v/>
      </c>
    </row>
    <row r="168" customFormat="false" ht="14.25" hidden="false" customHeight="false" outlineLevel="0" collapsed="false">
      <c r="A168" s="18" t="str">
        <f aca="false">IFERROR(MID(D168,1,FIND("|",D168)-1)&amp;"-"&amp;C168,"")</f>
        <v/>
      </c>
    </row>
    <row r="169" customFormat="false" ht="14.25" hidden="false" customHeight="false" outlineLevel="0" collapsed="false">
      <c r="A169" s="18" t="str">
        <f aca="false">IFERROR(MID(D169,1,FIND("|",D169)-1)&amp;"-"&amp;C169,"")</f>
        <v/>
      </c>
    </row>
    <row r="170" customFormat="false" ht="14.25" hidden="false" customHeight="false" outlineLevel="0" collapsed="false">
      <c r="A170" s="18" t="str">
        <f aca="false">IFERROR(MID(D170,1,FIND("|",D170)-1)&amp;"-"&amp;C170,"")</f>
        <v/>
      </c>
    </row>
    <row r="171" customFormat="false" ht="14.25" hidden="false" customHeight="false" outlineLevel="0" collapsed="false">
      <c r="A171" s="18" t="str">
        <f aca="false">IFERROR(MID(D171,1,FIND("|",D171)-1)&amp;"-"&amp;C171,"")</f>
        <v/>
      </c>
    </row>
    <row r="172" customFormat="false" ht="14.25" hidden="false" customHeight="false" outlineLevel="0" collapsed="false">
      <c r="A172" s="18" t="str">
        <f aca="false">IFERROR(MID(D172,1,FIND("|",D172)-1)&amp;"-"&amp;C172,"")</f>
        <v/>
      </c>
    </row>
    <row r="173" customFormat="false" ht="14.25" hidden="false" customHeight="false" outlineLevel="0" collapsed="false">
      <c r="A173" s="18" t="str">
        <f aca="false">IFERROR(MID(D173,1,FIND("|",D173)-1)&amp;"-"&amp;C173,"")</f>
        <v/>
      </c>
    </row>
    <row r="174" customFormat="false" ht="14.25" hidden="false" customHeight="false" outlineLevel="0" collapsed="false">
      <c r="A174" s="18" t="str">
        <f aca="false">IFERROR(MID(D174,1,FIND("|",D174)-1)&amp;"-"&amp;C174,"")</f>
        <v/>
      </c>
    </row>
    <row r="175" customFormat="false" ht="14.25" hidden="false" customHeight="false" outlineLevel="0" collapsed="false">
      <c r="A175" s="18" t="str">
        <f aca="false">IFERROR(MID(D175,1,FIND("|",D175)-1)&amp;"-"&amp;C175,"")</f>
        <v/>
      </c>
    </row>
    <row r="176" customFormat="false" ht="14.25" hidden="false" customHeight="false" outlineLevel="0" collapsed="false">
      <c r="A176" s="18" t="str">
        <f aca="false">IFERROR(MID(D176,1,FIND("|",D176)-1)&amp;"-"&amp;C176,"")</f>
        <v/>
      </c>
    </row>
    <row r="177" customFormat="false" ht="14.25" hidden="false" customHeight="false" outlineLevel="0" collapsed="false">
      <c r="A177" s="18" t="str">
        <f aca="false">IFERROR(MID(D177,1,FIND("|",D177)-1)&amp;"-"&amp;C177,"")</f>
        <v/>
      </c>
    </row>
    <row r="178" customFormat="false" ht="14.25" hidden="false" customHeight="false" outlineLevel="0" collapsed="false">
      <c r="A178" s="18" t="str">
        <f aca="false">IFERROR(MID(D178,1,FIND("|",D178)-1)&amp;"-"&amp;C178,"")</f>
        <v/>
      </c>
    </row>
    <row r="179" customFormat="false" ht="14.25" hidden="false" customHeight="false" outlineLevel="0" collapsed="false">
      <c r="A179" s="18" t="str">
        <f aca="false">IFERROR(MID(D179,1,FIND("|",D179)-1)&amp;"-"&amp;C179,"")</f>
        <v/>
      </c>
    </row>
    <row r="180" customFormat="false" ht="14.25" hidden="false" customHeight="false" outlineLevel="0" collapsed="false">
      <c r="A180" s="18" t="str">
        <f aca="false">IFERROR(MID(D180,1,FIND("|",D180)-1)&amp;"-"&amp;C180,"")</f>
        <v/>
      </c>
    </row>
    <row r="181" customFormat="false" ht="14.25" hidden="false" customHeight="false" outlineLevel="0" collapsed="false">
      <c r="A181" s="18" t="str">
        <f aca="false">IFERROR(MID(D181,1,FIND("|",D181)-1)&amp;"-"&amp;C181,"")</f>
        <v/>
      </c>
    </row>
    <row r="182" customFormat="false" ht="14.25" hidden="false" customHeight="false" outlineLevel="0" collapsed="false">
      <c r="A182" s="18" t="str">
        <f aca="false">IFERROR(MID(D182,1,FIND("|",D182)-1)&amp;"-"&amp;C182,"")</f>
        <v/>
      </c>
    </row>
    <row r="183" customFormat="false" ht="14.25" hidden="false" customHeight="false" outlineLevel="0" collapsed="false">
      <c r="A183" s="18" t="str">
        <f aca="false">IFERROR(MID(D183,1,FIND("|",D183)-1)&amp;"-"&amp;C183,"")</f>
        <v/>
      </c>
    </row>
    <row r="184" customFormat="false" ht="14.25" hidden="false" customHeight="false" outlineLevel="0" collapsed="false">
      <c r="A184" s="18" t="str">
        <f aca="false">IFERROR(MID(D184,1,FIND("|",D184)-1)&amp;"-"&amp;C184,"")</f>
        <v/>
      </c>
    </row>
    <row r="185" customFormat="false" ht="14.25" hidden="false" customHeight="false" outlineLevel="0" collapsed="false">
      <c r="A185" s="18" t="str">
        <f aca="false">IFERROR(MID(D185,1,FIND("|",D185)-1)&amp;"-"&amp;C185,"")</f>
        <v/>
      </c>
    </row>
    <row r="186" customFormat="false" ht="14.25" hidden="false" customHeight="false" outlineLevel="0" collapsed="false">
      <c r="A186" s="18" t="str">
        <f aca="false">IFERROR(MID(D186,1,FIND("|",D186)-1)&amp;"-"&amp;C186,"")</f>
        <v/>
      </c>
    </row>
    <row r="187" customFormat="false" ht="14.25" hidden="false" customHeight="false" outlineLevel="0" collapsed="false">
      <c r="A187" s="18" t="str">
        <f aca="false">IFERROR(MID(D187,1,FIND("|",D187)-1)&amp;"-"&amp;C187,"")</f>
        <v/>
      </c>
    </row>
    <row r="188" customFormat="false" ht="14.25" hidden="false" customHeight="false" outlineLevel="0" collapsed="false">
      <c r="A188" s="18" t="str">
        <f aca="false">IFERROR(MID(D188,1,FIND("|",D188)-1)&amp;"-"&amp;C188,"")</f>
        <v/>
      </c>
    </row>
    <row r="189" customFormat="false" ht="14.25" hidden="false" customHeight="false" outlineLevel="0" collapsed="false">
      <c r="A189" s="18" t="str">
        <f aca="false">IFERROR(MID(D189,1,FIND("|",D189)-1)&amp;"-"&amp;C189,"")</f>
        <v/>
      </c>
    </row>
    <row r="190" customFormat="false" ht="14.25" hidden="false" customHeight="false" outlineLevel="0" collapsed="false">
      <c r="A190" s="18" t="str">
        <f aca="false">IFERROR(MID(D190,1,FIND("|",D190)-1)&amp;"-"&amp;C190,"")</f>
        <v/>
      </c>
    </row>
    <row r="191" customFormat="false" ht="14.25" hidden="false" customHeight="false" outlineLevel="0" collapsed="false">
      <c r="A191" s="18" t="str">
        <f aca="false">IFERROR(MID(D191,1,FIND("|",D191)-1)&amp;"-"&amp;C191,"")</f>
        <v/>
      </c>
    </row>
    <row r="192" customFormat="false" ht="14.25" hidden="false" customHeight="false" outlineLevel="0" collapsed="false">
      <c r="A192" s="18" t="str">
        <f aca="false">IFERROR(MID(D192,1,FIND("|",D192)-1)&amp;"-"&amp;C192,"")</f>
        <v/>
      </c>
    </row>
    <row r="193" customFormat="false" ht="14.25" hidden="false" customHeight="false" outlineLevel="0" collapsed="false">
      <c r="A193" s="18" t="str">
        <f aca="false">IFERROR(MID(D193,1,FIND("|",D193)-1)&amp;"-"&amp;C193,"")</f>
        <v/>
      </c>
    </row>
    <row r="194" customFormat="false" ht="14.25" hidden="false" customHeight="false" outlineLevel="0" collapsed="false">
      <c r="A194" s="18" t="str">
        <f aca="false">IFERROR(MID(D194,1,FIND("|",D194)-1)&amp;"-"&amp;C194,"")</f>
        <v/>
      </c>
    </row>
    <row r="195" customFormat="false" ht="14.25" hidden="false" customHeight="false" outlineLevel="0" collapsed="false">
      <c r="A195" s="18" t="str">
        <f aca="false">IFERROR(MID(D195,1,FIND("|",D195)-1)&amp;"-"&amp;C195,"")</f>
        <v/>
      </c>
    </row>
    <row r="196" customFormat="false" ht="14.25" hidden="false" customHeight="false" outlineLevel="0" collapsed="false">
      <c r="A196" s="18" t="str">
        <f aca="false">IFERROR(MID(D196,1,FIND("|",D196)-1)&amp;"-"&amp;C196,"")</f>
        <v/>
      </c>
    </row>
    <row r="197" customFormat="false" ht="14.25" hidden="false" customHeight="false" outlineLevel="0" collapsed="false">
      <c r="A197" s="18" t="str">
        <f aca="false">IFERROR(MID(D197,1,FIND("|",D197)-1)&amp;"-"&amp;C197,"")</f>
        <v/>
      </c>
    </row>
    <row r="198" customFormat="false" ht="14.25" hidden="false" customHeight="false" outlineLevel="0" collapsed="false">
      <c r="A198" s="18" t="str">
        <f aca="false">IFERROR(MID(D198,1,FIND("|",D198)-1)&amp;"-"&amp;C198,"")</f>
        <v/>
      </c>
    </row>
    <row r="199" customFormat="false" ht="14.25" hidden="false" customHeight="false" outlineLevel="0" collapsed="false">
      <c r="A199" s="18" t="str">
        <f aca="false">IFERROR(MID(D199,1,FIND("|",D199)-1)&amp;"-"&amp;C199,"")</f>
        <v/>
      </c>
    </row>
    <row r="200" customFormat="false" ht="14.25" hidden="false" customHeight="false" outlineLevel="0" collapsed="false">
      <c r="A200" s="18" t="str">
        <f aca="false">IFERROR(MID(D200,1,FIND("|",D200)-1)&amp;"-"&amp;C200,"")</f>
        <v/>
      </c>
    </row>
    <row r="201" customFormat="false" ht="14.25" hidden="false" customHeight="false" outlineLevel="0" collapsed="false">
      <c r="A201" s="18" t="str">
        <f aca="false">IFERROR(MID(D201,1,FIND("|",D201)-1)&amp;"-"&amp;C201,"")</f>
        <v/>
      </c>
    </row>
    <row r="202" customFormat="false" ht="14.25" hidden="false" customHeight="false" outlineLevel="0" collapsed="false">
      <c r="A202" s="18" t="str">
        <f aca="false">IFERROR(MID(D202,1,FIND("|",D202)-1)&amp;"-"&amp;C202,"")</f>
        <v/>
      </c>
    </row>
    <row r="203" customFormat="false" ht="14.25" hidden="false" customHeight="false" outlineLevel="0" collapsed="false">
      <c r="A203" s="18" t="str">
        <f aca="false">IFERROR(MID(D203,1,FIND("|",D203)-1)&amp;"-"&amp;C203,"")</f>
        <v/>
      </c>
    </row>
    <row r="204" customFormat="false" ht="14.25" hidden="false" customHeight="false" outlineLevel="0" collapsed="false">
      <c r="A204" s="18" t="str">
        <f aca="false">IFERROR(MID(D204,1,FIND("|",D204)-1)&amp;"-"&amp;C204,"")</f>
        <v/>
      </c>
    </row>
    <row r="205" customFormat="false" ht="14.25" hidden="false" customHeight="false" outlineLevel="0" collapsed="false">
      <c r="A205" s="18" t="str">
        <f aca="false">IFERROR(MID(D205,1,FIND("|",D205)-1)&amp;"-"&amp;C205,"")</f>
        <v/>
      </c>
    </row>
    <row r="206" customFormat="false" ht="14.25" hidden="false" customHeight="false" outlineLevel="0" collapsed="false">
      <c r="A206" s="18" t="str">
        <f aca="false">IFERROR(MID(D206,1,FIND("|",D206)-1)&amp;"-"&amp;C206,"")</f>
        <v/>
      </c>
    </row>
    <row r="207" customFormat="false" ht="14.25" hidden="false" customHeight="false" outlineLevel="0" collapsed="false">
      <c r="A207" s="18" t="str">
        <f aca="false">IFERROR(MID(D207,1,FIND("|",D207)-1)&amp;"-"&amp;C207,"")</f>
        <v/>
      </c>
    </row>
    <row r="208" customFormat="false" ht="14.25" hidden="false" customHeight="false" outlineLevel="0" collapsed="false">
      <c r="A208" s="18" t="str">
        <f aca="false">IFERROR(MID(D208,1,FIND("|",D208)-1)&amp;"-"&amp;C208,"")</f>
        <v/>
      </c>
    </row>
    <row r="209" customFormat="false" ht="14.25" hidden="false" customHeight="false" outlineLevel="0" collapsed="false">
      <c r="A209" s="18" t="str">
        <f aca="false">IFERROR(MID(D209,1,FIND("|",D209)-1)&amp;"-"&amp;C209,"")</f>
        <v/>
      </c>
    </row>
    <row r="210" customFormat="false" ht="14.25" hidden="false" customHeight="false" outlineLevel="0" collapsed="false">
      <c r="A210" s="18" t="str">
        <f aca="false">IFERROR(MID(D210,1,FIND("|",D210)-1)&amp;"-"&amp;C210,"")</f>
        <v/>
      </c>
    </row>
    <row r="211" customFormat="false" ht="14.25" hidden="false" customHeight="false" outlineLevel="0" collapsed="false">
      <c r="A211" s="18" t="str">
        <f aca="false">IFERROR(MID(D211,1,FIND("|",D211)-1)&amp;"-"&amp;C211,"")</f>
        <v/>
      </c>
    </row>
    <row r="212" customFormat="false" ht="14.25" hidden="false" customHeight="false" outlineLevel="0" collapsed="false">
      <c r="A212" s="18" t="str">
        <f aca="false">IFERROR(MID(D212,1,FIND("|",D212)-1)&amp;"-"&amp;C212,"")</f>
        <v/>
      </c>
    </row>
    <row r="213" customFormat="false" ht="14.25" hidden="false" customHeight="false" outlineLevel="0" collapsed="false">
      <c r="A213" s="18" t="str">
        <f aca="false">IFERROR(MID(D213,1,FIND("|",D213)-1)&amp;"-"&amp;C213,"")</f>
        <v/>
      </c>
    </row>
    <row r="214" customFormat="false" ht="14.25" hidden="false" customHeight="false" outlineLevel="0" collapsed="false">
      <c r="A214" s="18" t="str">
        <f aca="false">IFERROR(MID(D214,1,FIND("|",D214)-1)&amp;"-"&amp;C214,"")</f>
        <v/>
      </c>
    </row>
    <row r="215" customFormat="false" ht="14.25" hidden="false" customHeight="false" outlineLevel="0" collapsed="false">
      <c r="A215" s="18" t="str">
        <f aca="false">IFERROR(MID(D215,1,FIND("|",D215)-1)&amp;"-"&amp;C215,"")</f>
        <v/>
      </c>
    </row>
    <row r="216" customFormat="false" ht="14.25" hidden="false" customHeight="false" outlineLevel="0" collapsed="false">
      <c r="A216" s="18" t="str">
        <f aca="false">IFERROR(MID(D216,1,FIND("|",D216)-1)&amp;"-"&amp;C216,"")</f>
        <v/>
      </c>
    </row>
    <row r="217" customFormat="false" ht="14.25" hidden="false" customHeight="false" outlineLevel="0" collapsed="false">
      <c r="A217" s="18" t="str">
        <f aca="false">IFERROR(MID(D217,1,FIND("|",D217)-1)&amp;"-"&amp;C217,"")</f>
        <v/>
      </c>
    </row>
    <row r="218" customFormat="false" ht="14.25" hidden="false" customHeight="false" outlineLevel="0" collapsed="false">
      <c r="A218" s="18" t="str">
        <f aca="false">IFERROR(MID(D218,1,FIND("|",D218)-1)&amp;"-"&amp;C218,"")</f>
        <v/>
      </c>
    </row>
    <row r="219" customFormat="false" ht="14.25" hidden="false" customHeight="false" outlineLevel="0" collapsed="false">
      <c r="A219" s="18" t="str">
        <f aca="false">IFERROR(MID(D219,1,FIND("|",D219)-1)&amp;"-"&amp;C219,"")</f>
        <v/>
      </c>
    </row>
    <row r="220" customFormat="false" ht="14.25" hidden="false" customHeight="false" outlineLevel="0" collapsed="false">
      <c r="A220" s="18" t="str">
        <f aca="false">IFERROR(MID(D220,1,FIND("|",D220)-1)&amp;"-"&amp;C220,"")</f>
        <v/>
      </c>
    </row>
    <row r="221" customFormat="false" ht="14.25" hidden="false" customHeight="false" outlineLevel="0" collapsed="false">
      <c r="A221" s="18" t="str">
        <f aca="false">IFERROR(MID(D221,1,FIND("|",D221)-1)&amp;"-"&amp;C221,"")</f>
        <v/>
      </c>
    </row>
    <row r="222" customFormat="false" ht="14.25" hidden="false" customHeight="false" outlineLevel="0" collapsed="false">
      <c r="A222" s="18" t="str">
        <f aca="false">IFERROR(MID(D222,1,FIND("|",D222)-1)&amp;"-"&amp;C222,"")</f>
        <v/>
      </c>
    </row>
    <row r="223" customFormat="false" ht="14.25" hidden="false" customHeight="false" outlineLevel="0" collapsed="false">
      <c r="A223" s="18" t="str">
        <f aca="false">IFERROR(MID(D223,1,FIND("|",D223)-1)&amp;"-"&amp;C223,"")</f>
        <v/>
      </c>
    </row>
    <row r="224" customFormat="false" ht="14.25" hidden="false" customHeight="false" outlineLevel="0" collapsed="false">
      <c r="A224" s="18" t="str">
        <f aca="false">IFERROR(MID(D224,1,FIND("|",D224)-1)&amp;"-"&amp;C224,"")</f>
        <v/>
      </c>
    </row>
    <row r="225" customFormat="false" ht="14.25" hidden="false" customHeight="false" outlineLevel="0" collapsed="false">
      <c r="A225" s="18" t="str">
        <f aca="false">IFERROR(MID(D225,1,FIND("|",D225)-1)&amp;"-"&amp;C225,"")</f>
        <v/>
      </c>
    </row>
    <row r="226" customFormat="false" ht="14.25" hidden="false" customHeight="false" outlineLevel="0" collapsed="false">
      <c r="A226" s="18" t="str">
        <f aca="false">IFERROR(MID(D226,1,FIND("|",D226)-1)&amp;"-"&amp;C226,"")</f>
        <v/>
      </c>
    </row>
    <row r="227" customFormat="false" ht="14.25" hidden="false" customHeight="false" outlineLevel="0" collapsed="false">
      <c r="A227" s="18" t="str">
        <f aca="false">IFERROR(MID(D227,1,FIND("|",D227)-1)&amp;"-"&amp;C227,"")</f>
        <v/>
      </c>
    </row>
    <row r="228" customFormat="false" ht="14.25" hidden="false" customHeight="false" outlineLevel="0" collapsed="false">
      <c r="A228" s="18" t="str">
        <f aca="false">IFERROR(MID(D228,1,FIND("|",D228)-1)&amp;"-"&amp;C228,"")</f>
        <v/>
      </c>
    </row>
    <row r="229" customFormat="false" ht="14.25" hidden="false" customHeight="false" outlineLevel="0" collapsed="false">
      <c r="A229" s="18" t="str">
        <f aca="false">IFERROR(MID(D229,1,FIND("|",D229)-1)&amp;"-"&amp;C229,"")</f>
        <v/>
      </c>
    </row>
    <row r="230" customFormat="false" ht="14.25" hidden="false" customHeight="false" outlineLevel="0" collapsed="false">
      <c r="A230" s="18" t="str">
        <f aca="false">IFERROR(MID(D230,1,FIND("|",D230)-1)&amp;"-"&amp;C230,"")</f>
        <v/>
      </c>
    </row>
    <row r="231" customFormat="false" ht="14.25" hidden="false" customHeight="false" outlineLevel="0" collapsed="false">
      <c r="A231" s="18" t="str">
        <f aca="false">IFERROR(MID(D231,1,FIND("|",D231)-1)&amp;"-"&amp;C231,"")</f>
        <v/>
      </c>
    </row>
    <row r="232" customFormat="false" ht="14.25" hidden="false" customHeight="false" outlineLevel="0" collapsed="false">
      <c r="A232" s="18" t="str">
        <f aca="false">IFERROR(MID(D232,1,FIND("|",D232)-1)&amp;"-"&amp;C232,"")</f>
        <v/>
      </c>
    </row>
    <row r="233" customFormat="false" ht="14.25" hidden="false" customHeight="false" outlineLevel="0" collapsed="false">
      <c r="A233" s="18" t="str">
        <f aca="false">IFERROR(MID(D233,1,FIND("|",D233)-1)&amp;"-"&amp;C233,"")</f>
        <v/>
      </c>
    </row>
    <row r="234" customFormat="false" ht="14.25" hidden="false" customHeight="false" outlineLevel="0" collapsed="false">
      <c r="A234" s="18" t="str">
        <f aca="false">IFERROR(MID(D234,1,FIND("|",D234)-1)&amp;"-"&amp;C234,"")</f>
        <v/>
      </c>
    </row>
    <row r="235" customFormat="false" ht="14.25" hidden="false" customHeight="false" outlineLevel="0" collapsed="false">
      <c r="A235" s="18" t="str">
        <f aca="false">IFERROR(MID(D235,1,FIND("|",D235)-1)&amp;"-"&amp;C235,"")</f>
        <v/>
      </c>
    </row>
    <row r="236" customFormat="false" ht="14.25" hidden="false" customHeight="false" outlineLevel="0" collapsed="false">
      <c r="A236" s="18" t="str">
        <f aca="false">IFERROR(MID(D236,1,FIND("|",D236)-1)&amp;"-"&amp;C236,"")</f>
        <v/>
      </c>
    </row>
    <row r="237" customFormat="false" ht="14.25" hidden="false" customHeight="false" outlineLevel="0" collapsed="false">
      <c r="A237" s="18" t="str">
        <f aca="false">IFERROR(MID(D237,1,FIND("|",D237)-1)&amp;"-"&amp;C237,"")</f>
        <v/>
      </c>
    </row>
    <row r="238" customFormat="false" ht="14.25" hidden="false" customHeight="false" outlineLevel="0" collapsed="false">
      <c r="A238" s="18" t="str">
        <f aca="false">IFERROR(MID(D238,1,FIND("|",D238)-1)&amp;"-"&amp;C238,"")</f>
        <v/>
      </c>
    </row>
    <row r="239" customFormat="false" ht="14.25" hidden="false" customHeight="false" outlineLevel="0" collapsed="false">
      <c r="A239" s="18" t="str">
        <f aca="false">IFERROR(MID(D239,1,FIND("|",D239)-1)&amp;"-"&amp;C239,"")</f>
        <v/>
      </c>
    </row>
    <row r="240" customFormat="false" ht="14.25" hidden="false" customHeight="false" outlineLevel="0" collapsed="false">
      <c r="A240" s="18" t="str">
        <f aca="false">IFERROR(MID(D240,1,FIND("|",D240)-1)&amp;"-"&amp;C240,"")</f>
        <v/>
      </c>
    </row>
    <row r="241" customFormat="false" ht="14.25" hidden="false" customHeight="false" outlineLevel="0" collapsed="false">
      <c r="A241" s="18" t="str">
        <f aca="false">IFERROR(MID(D241,1,FIND("|",D241)-1)&amp;"-"&amp;C241,"")</f>
        <v/>
      </c>
    </row>
    <row r="242" customFormat="false" ht="14.25" hidden="false" customHeight="false" outlineLevel="0" collapsed="false">
      <c r="A242" s="18" t="str">
        <f aca="false">IFERROR(MID(D242,1,FIND("|",D242)-1)&amp;"-"&amp;C242,"")</f>
        <v/>
      </c>
    </row>
    <row r="243" customFormat="false" ht="14.25" hidden="false" customHeight="false" outlineLevel="0" collapsed="false">
      <c r="A243" s="18" t="str">
        <f aca="false">IFERROR(MID(D243,1,FIND("|",D243)-1)&amp;"-"&amp;C243,"")</f>
        <v/>
      </c>
    </row>
    <row r="244" customFormat="false" ht="14.25" hidden="false" customHeight="false" outlineLevel="0" collapsed="false">
      <c r="A244" s="18" t="str">
        <f aca="false">IFERROR(MID(D244,1,FIND("|",D244)-1)&amp;"-"&amp;C244,"")</f>
        <v/>
      </c>
    </row>
    <row r="245" customFormat="false" ht="14.25" hidden="false" customHeight="false" outlineLevel="0" collapsed="false">
      <c r="A245" s="18" t="str">
        <f aca="false">IFERROR(MID(D245,1,FIND("|",D245)-1)&amp;"-"&amp;C245,"")</f>
        <v/>
      </c>
    </row>
    <row r="246" customFormat="false" ht="14.25" hidden="false" customHeight="false" outlineLevel="0" collapsed="false">
      <c r="A246" s="18" t="str">
        <f aca="false">IFERROR(MID(D246,1,FIND("|",D246)-1)&amp;"-"&amp;C246,"")</f>
        <v/>
      </c>
    </row>
    <row r="247" customFormat="false" ht="14.25" hidden="false" customHeight="false" outlineLevel="0" collapsed="false">
      <c r="A247" s="18" t="str">
        <f aca="false">IFERROR(MID(D247,1,FIND("|",D247)-1)&amp;"-"&amp;C247,"")</f>
        <v/>
      </c>
    </row>
    <row r="248" customFormat="false" ht="14.25" hidden="false" customHeight="false" outlineLevel="0" collapsed="false">
      <c r="A248" s="18" t="str">
        <f aca="false">IFERROR(MID(D248,1,FIND("|",D248)-1)&amp;"-"&amp;C248,"")</f>
        <v/>
      </c>
    </row>
    <row r="249" customFormat="false" ht="14.25" hidden="false" customHeight="false" outlineLevel="0" collapsed="false">
      <c r="A249" s="18" t="str">
        <f aca="false">IFERROR(MID(D249,1,FIND("|",D249)-1)&amp;"-"&amp;C249,"")</f>
        <v/>
      </c>
    </row>
    <row r="250" customFormat="false" ht="14.25" hidden="false" customHeight="false" outlineLevel="0" collapsed="false">
      <c r="A250" s="18" t="str">
        <f aca="false">IFERROR(MID(D250,1,FIND("|",D250)-1)&amp;"-"&amp;C250,"")</f>
        <v/>
      </c>
    </row>
    <row r="251" customFormat="false" ht="14.25" hidden="false" customHeight="false" outlineLevel="0" collapsed="false">
      <c r="A251" s="18" t="str">
        <f aca="false">IFERROR(MID(D251,1,FIND("|",D251)-1)&amp;"-"&amp;C251,"")</f>
        <v/>
      </c>
    </row>
    <row r="252" customFormat="false" ht="14.25" hidden="false" customHeight="false" outlineLevel="0" collapsed="false">
      <c r="A252" s="18" t="str">
        <f aca="false">IFERROR(MID(D252,1,FIND("|",D252)-1)&amp;"-"&amp;C252,"")</f>
        <v/>
      </c>
    </row>
    <row r="253" customFormat="false" ht="14.25" hidden="false" customHeight="false" outlineLevel="0" collapsed="false">
      <c r="A253" s="18" t="str">
        <f aca="false">IFERROR(MID(D253,1,FIND("|",D253)-1)&amp;"-"&amp;C253,"")</f>
        <v/>
      </c>
    </row>
    <row r="254" customFormat="false" ht="14.25" hidden="false" customHeight="false" outlineLevel="0" collapsed="false">
      <c r="A254" s="18" t="str">
        <f aca="false">IFERROR(MID(D254,1,FIND("|",D254)-1)&amp;"-"&amp;C254,"")</f>
        <v/>
      </c>
    </row>
    <row r="255" customFormat="false" ht="14.25" hidden="false" customHeight="false" outlineLevel="0" collapsed="false">
      <c r="A255" s="18" t="str">
        <f aca="false">IFERROR(MID(D255,1,FIND("|",D255)-1)&amp;"-"&amp;C255,"")</f>
        <v/>
      </c>
    </row>
    <row r="256" customFormat="false" ht="14.25" hidden="false" customHeight="false" outlineLevel="0" collapsed="false">
      <c r="A256" s="18" t="str">
        <f aca="false">IFERROR(MID(D256,1,FIND("|",D256)-1)&amp;"-"&amp;C256,"")</f>
        <v/>
      </c>
    </row>
    <row r="257" customFormat="false" ht="14.25" hidden="false" customHeight="false" outlineLevel="0" collapsed="false">
      <c r="A257" s="18" t="str">
        <f aca="false">IFERROR(MID(D257,1,FIND("|",D257)-1)&amp;"-"&amp;C257,"")</f>
        <v/>
      </c>
    </row>
    <row r="258" customFormat="false" ht="14.25" hidden="false" customHeight="false" outlineLevel="0" collapsed="false">
      <c r="A258" s="18" t="str">
        <f aca="false">IFERROR(MID(D258,1,FIND("|",D258)-1)&amp;"-"&amp;C258,"")</f>
        <v/>
      </c>
    </row>
    <row r="259" customFormat="false" ht="14.25" hidden="false" customHeight="false" outlineLevel="0" collapsed="false">
      <c r="A259" s="18" t="str">
        <f aca="false">IFERROR(MID(D259,1,FIND("|",D259)-1)&amp;"-"&amp;C259,"")</f>
        <v/>
      </c>
    </row>
    <row r="260" customFormat="false" ht="14.25" hidden="false" customHeight="false" outlineLevel="0" collapsed="false">
      <c r="A260" s="18" t="str">
        <f aca="false">IFERROR(MID(D260,1,FIND("|",D260)-1)&amp;"-"&amp;C260,"")</f>
        <v/>
      </c>
    </row>
    <row r="261" customFormat="false" ht="14.25" hidden="false" customHeight="false" outlineLevel="0" collapsed="false">
      <c r="A261" s="18" t="str">
        <f aca="false">IFERROR(MID(D261,1,FIND("|",D261)-1)&amp;"-"&amp;C261,"")</f>
        <v/>
      </c>
    </row>
    <row r="262" customFormat="false" ht="14.25" hidden="false" customHeight="false" outlineLevel="0" collapsed="false">
      <c r="A262" s="18" t="str">
        <f aca="false">IFERROR(MID(D262,1,FIND("|",D262)-1)&amp;"-"&amp;C262,"")</f>
        <v/>
      </c>
    </row>
    <row r="263" customFormat="false" ht="14.25" hidden="false" customHeight="false" outlineLevel="0" collapsed="false">
      <c r="A263" s="18" t="str">
        <f aca="false">IFERROR(MID(D263,1,FIND("|",D263)-1)&amp;"-"&amp;C263,"")</f>
        <v/>
      </c>
    </row>
    <row r="264" customFormat="false" ht="14.25" hidden="false" customHeight="false" outlineLevel="0" collapsed="false">
      <c r="A264" s="18" t="str">
        <f aca="false">IFERROR(MID(D264,1,FIND("|",D264)-1)&amp;"-"&amp;C264,"")</f>
        <v/>
      </c>
    </row>
    <row r="265" customFormat="false" ht="14.25" hidden="false" customHeight="false" outlineLevel="0" collapsed="false">
      <c r="A265" s="18" t="str">
        <f aca="false">IFERROR(MID(D265,1,FIND("|",D265)-1)&amp;"-"&amp;C265,"")</f>
        <v/>
      </c>
    </row>
    <row r="266" customFormat="false" ht="14.25" hidden="false" customHeight="false" outlineLevel="0" collapsed="false">
      <c r="A266" s="18" t="str">
        <f aca="false">IFERROR(MID(D266,1,FIND("|",D266)-1)&amp;"-"&amp;C266,"")</f>
        <v/>
      </c>
    </row>
    <row r="267" customFormat="false" ht="14.25" hidden="false" customHeight="false" outlineLevel="0" collapsed="false">
      <c r="A267" s="18" t="str">
        <f aca="false">IFERROR(MID(D267,1,FIND("|",D267)-1)&amp;"-"&amp;C267,"")</f>
        <v/>
      </c>
    </row>
    <row r="268" customFormat="false" ht="14.25" hidden="false" customHeight="false" outlineLevel="0" collapsed="false">
      <c r="A268" s="18" t="str">
        <f aca="false">IFERROR(MID(D268,1,FIND("|",D268)-1)&amp;"-"&amp;C268,"")</f>
        <v/>
      </c>
    </row>
    <row r="269" customFormat="false" ht="14.25" hidden="false" customHeight="false" outlineLevel="0" collapsed="false">
      <c r="A269" s="18" t="str">
        <f aca="false">IFERROR(MID(D269,1,FIND("|",D269)-1)&amp;"-"&amp;C269,"")</f>
        <v/>
      </c>
    </row>
    <row r="270" customFormat="false" ht="14.25" hidden="false" customHeight="false" outlineLevel="0" collapsed="false">
      <c r="A270" s="18" t="str">
        <f aca="false">IFERROR(MID(D270,1,FIND("|",D270)-1)&amp;"-"&amp;C270,"")</f>
        <v/>
      </c>
    </row>
    <row r="271" customFormat="false" ht="14.25" hidden="false" customHeight="false" outlineLevel="0" collapsed="false">
      <c r="A271" s="18" t="str">
        <f aca="false">IFERROR(MID(D271,1,FIND("|",D271)-1)&amp;"-"&amp;C271,"")</f>
        <v/>
      </c>
    </row>
    <row r="272" customFormat="false" ht="14.25" hidden="false" customHeight="false" outlineLevel="0" collapsed="false">
      <c r="A272" s="18" t="str">
        <f aca="false">IFERROR(MID(D272,1,FIND("|",D272)-1)&amp;"-"&amp;C272,"")</f>
        <v/>
      </c>
    </row>
    <row r="273" customFormat="false" ht="14.25" hidden="false" customHeight="false" outlineLevel="0" collapsed="false">
      <c r="A273" s="18" t="str">
        <f aca="false">IFERROR(MID(D273,1,FIND("|",D273)-1)&amp;"-"&amp;C273,"")</f>
        <v/>
      </c>
    </row>
    <row r="274" customFormat="false" ht="14.25" hidden="false" customHeight="false" outlineLevel="0" collapsed="false">
      <c r="A274" s="18" t="str">
        <f aca="false">IFERROR(MID(D274,1,FIND("|",D274)-1)&amp;"-"&amp;C274,"")</f>
        <v/>
      </c>
    </row>
    <row r="275" customFormat="false" ht="14.25" hidden="false" customHeight="false" outlineLevel="0" collapsed="false">
      <c r="A275" s="18" t="str">
        <f aca="false">IFERROR(MID(D275,1,FIND("|",D275)-1)&amp;"-"&amp;C275,"")</f>
        <v/>
      </c>
    </row>
    <row r="276" customFormat="false" ht="14.25" hidden="false" customHeight="false" outlineLevel="0" collapsed="false">
      <c r="A276" s="18" t="str">
        <f aca="false">IFERROR(MID(D276,1,FIND("|",D276)-1)&amp;"-"&amp;C276,"")</f>
        <v/>
      </c>
    </row>
    <row r="277" customFormat="false" ht="14.25" hidden="false" customHeight="false" outlineLevel="0" collapsed="false">
      <c r="A277" s="18" t="str">
        <f aca="false">IFERROR(MID(D277,1,FIND("|",D277)-1)&amp;"-"&amp;C277,"")</f>
        <v/>
      </c>
    </row>
    <row r="278" customFormat="false" ht="14.25" hidden="false" customHeight="false" outlineLevel="0" collapsed="false">
      <c r="A278" s="18" t="str">
        <f aca="false">IFERROR(MID(D278,1,FIND("|",D278)-1)&amp;"-"&amp;C278,"")</f>
        <v/>
      </c>
    </row>
    <row r="279" customFormat="false" ht="14.25" hidden="false" customHeight="false" outlineLevel="0" collapsed="false">
      <c r="A279" s="18" t="str">
        <f aca="false">IFERROR(MID(D279,1,FIND("|",D279)-1)&amp;"-"&amp;C279,"")</f>
        <v/>
      </c>
    </row>
    <row r="280" customFormat="false" ht="14.25" hidden="false" customHeight="false" outlineLevel="0" collapsed="false">
      <c r="A280" s="18" t="str">
        <f aca="false">IFERROR(MID(D280,1,FIND("|",D280)-1)&amp;"-"&amp;C280,"")</f>
        <v/>
      </c>
    </row>
    <row r="281" customFormat="false" ht="14.25" hidden="false" customHeight="false" outlineLevel="0" collapsed="false">
      <c r="A281" s="18" t="str">
        <f aca="false">IFERROR(MID(D281,1,FIND("|",D281)-1)&amp;"-"&amp;C281,"")</f>
        <v/>
      </c>
    </row>
    <row r="282" customFormat="false" ht="14.25" hidden="false" customHeight="false" outlineLevel="0" collapsed="false">
      <c r="A282" s="18" t="str">
        <f aca="false">IFERROR(MID(D282,1,FIND("|",D282)-1)&amp;"-"&amp;C282,"")</f>
        <v/>
      </c>
    </row>
    <row r="283" customFormat="false" ht="14.25" hidden="false" customHeight="false" outlineLevel="0" collapsed="false">
      <c r="A283" s="18" t="str">
        <f aca="false">IFERROR(MID(D283,1,FIND("|",D283)-1)&amp;"-"&amp;C283,"")</f>
        <v/>
      </c>
    </row>
    <row r="284" customFormat="false" ht="14.25" hidden="false" customHeight="false" outlineLevel="0" collapsed="false">
      <c r="A284" s="18" t="str">
        <f aca="false">IFERROR(MID(D284,1,FIND("|",D284)-1)&amp;"-"&amp;C284,"")</f>
        <v/>
      </c>
    </row>
    <row r="285" customFormat="false" ht="14.25" hidden="false" customHeight="false" outlineLevel="0" collapsed="false">
      <c r="A285" s="18" t="str">
        <f aca="false">IFERROR(MID(D285,1,FIND("|",D285)-1)&amp;"-"&amp;C285,"")</f>
        <v/>
      </c>
    </row>
    <row r="286" customFormat="false" ht="14.25" hidden="false" customHeight="false" outlineLevel="0" collapsed="false">
      <c r="A286" s="18" t="str">
        <f aca="false">IFERROR(MID(D286,1,FIND("|",D286)-1)&amp;"-"&amp;C286,"")</f>
        <v/>
      </c>
    </row>
    <row r="287" customFormat="false" ht="14.25" hidden="false" customHeight="false" outlineLevel="0" collapsed="false">
      <c r="A287" s="18" t="str">
        <f aca="false">IFERROR(MID(D287,1,FIND("|",D287)-1)&amp;"-"&amp;C287,"")</f>
        <v/>
      </c>
    </row>
    <row r="288" customFormat="false" ht="14.25" hidden="false" customHeight="false" outlineLevel="0" collapsed="false">
      <c r="A288" s="18" t="str">
        <f aca="false">IFERROR(MID(D288,1,FIND("|",D288)-1)&amp;"-"&amp;C288,"")</f>
        <v/>
      </c>
    </row>
    <row r="289" customFormat="false" ht="14.25" hidden="false" customHeight="false" outlineLevel="0" collapsed="false">
      <c r="A289" s="18" t="str">
        <f aca="false">IFERROR(MID(D289,1,FIND("|",D289)-1)&amp;"-"&amp;C289,"")</f>
        <v/>
      </c>
    </row>
    <row r="290" customFormat="false" ht="14.25" hidden="false" customHeight="false" outlineLevel="0" collapsed="false">
      <c r="A290" s="18" t="str">
        <f aca="false">IFERROR(MID(D290,1,FIND("|",D290)-1)&amp;"-"&amp;C290,"")</f>
        <v/>
      </c>
    </row>
    <row r="291" customFormat="false" ht="14.25" hidden="false" customHeight="false" outlineLevel="0" collapsed="false">
      <c r="A291" s="18" t="str">
        <f aca="false">IFERROR(MID(D291,1,FIND("|",D291)-1)&amp;"-"&amp;C291,"")</f>
        <v/>
      </c>
    </row>
    <row r="292" customFormat="false" ht="14.25" hidden="false" customHeight="false" outlineLevel="0" collapsed="false">
      <c r="A292" s="18" t="str">
        <f aca="false">IFERROR(MID(D292,1,FIND("|",D292)-1)&amp;"-"&amp;C292,"")</f>
        <v/>
      </c>
    </row>
    <row r="293" customFormat="false" ht="14.25" hidden="false" customHeight="false" outlineLevel="0" collapsed="false">
      <c r="A293" s="18" t="str">
        <f aca="false">IFERROR(MID(D293,1,FIND("|",D293)-1)&amp;"-"&amp;C293,"")</f>
        <v/>
      </c>
    </row>
    <row r="294" customFormat="false" ht="14.25" hidden="false" customHeight="false" outlineLevel="0" collapsed="false">
      <c r="A294" s="18" t="str">
        <f aca="false">IFERROR(MID(D294,1,FIND("|",D294)-1)&amp;"-"&amp;C294,"")</f>
        <v/>
      </c>
    </row>
    <row r="295" customFormat="false" ht="14.25" hidden="false" customHeight="false" outlineLevel="0" collapsed="false">
      <c r="A295" s="18" t="str">
        <f aca="false">IFERROR(MID(D295,1,FIND("|",D295)-1)&amp;"-"&amp;C295,"")</f>
        <v/>
      </c>
    </row>
    <row r="296" customFormat="false" ht="14.25" hidden="false" customHeight="false" outlineLevel="0" collapsed="false">
      <c r="A296" s="18" t="str">
        <f aca="false">IFERROR(MID(D296,1,FIND("|",D296)-1)&amp;"-"&amp;C296,"")</f>
        <v/>
      </c>
    </row>
    <row r="297" customFormat="false" ht="14.25" hidden="false" customHeight="false" outlineLevel="0" collapsed="false">
      <c r="A297" s="18" t="str">
        <f aca="false">IFERROR(MID(D297,1,FIND("|",D297)-1)&amp;"-"&amp;C297,"")</f>
        <v/>
      </c>
    </row>
    <row r="298" customFormat="false" ht="14.25" hidden="false" customHeight="false" outlineLevel="0" collapsed="false">
      <c r="A298" s="18" t="str">
        <f aca="false">IFERROR(MID(D298,1,FIND("|",D298)-1)&amp;"-"&amp;C298,"")</f>
        <v/>
      </c>
    </row>
    <row r="299" customFormat="false" ht="14.25" hidden="false" customHeight="false" outlineLevel="0" collapsed="false">
      <c r="A299" s="18" t="str">
        <f aca="false">IFERROR(MID(D299,1,FIND("|",D299)-1)&amp;"-"&amp;C299,"")</f>
        <v/>
      </c>
    </row>
    <row r="300" customFormat="false" ht="14.25" hidden="false" customHeight="false" outlineLevel="0" collapsed="false">
      <c r="A300" s="18" t="str">
        <f aca="false">IFERROR(MID(D300,1,FIND("|",D300)-1)&amp;"-"&amp;C300,"")</f>
        <v/>
      </c>
    </row>
    <row r="301" customFormat="false" ht="14.25" hidden="false" customHeight="false" outlineLevel="0" collapsed="false">
      <c r="A301" s="18" t="str">
        <f aca="false">IFERROR(MID(D301,1,FIND("|",D301)-1)&amp;"-"&amp;C301,"")</f>
        <v/>
      </c>
    </row>
    <row r="302" customFormat="false" ht="14.25" hidden="false" customHeight="false" outlineLevel="0" collapsed="false">
      <c r="A302" s="18" t="str">
        <f aca="false">IFERROR(MID(D302,1,FIND("|",D302)-1)&amp;"-"&amp;C302,"")</f>
        <v/>
      </c>
    </row>
    <row r="303" customFormat="false" ht="14.25" hidden="false" customHeight="false" outlineLevel="0" collapsed="false">
      <c r="A303" s="18" t="str">
        <f aca="false">IFERROR(MID(D303,1,FIND("|",D303)-1)&amp;"-"&amp;C303,"")</f>
        <v/>
      </c>
    </row>
    <row r="304" customFormat="false" ht="14.25" hidden="false" customHeight="false" outlineLevel="0" collapsed="false">
      <c r="A304" s="18" t="str">
        <f aca="false">IFERROR(MID(D304,1,FIND("|",D304)-1)&amp;"-"&amp;C304,"")</f>
        <v/>
      </c>
    </row>
    <row r="305" customFormat="false" ht="14.25" hidden="false" customHeight="false" outlineLevel="0" collapsed="false">
      <c r="A305" s="18" t="str">
        <f aca="false">IFERROR(MID(D305,1,FIND("|",D305)-1)&amp;"-"&amp;C305,"")</f>
        <v/>
      </c>
    </row>
    <row r="306" customFormat="false" ht="14.25" hidden="false" customHeight="false" outlineLevel="0" collapsed="false">
      <c r="A306" s="18" t="str">
        <f aca="false">IFERROR(MID(D306,1,FIND("|",D306)-1)&amp;"-"&amp;C306,"")</f>
        <v/>
      </c>
    </row>
    <row r="307" customFormat="false" ht="14.25" hidden="false" customHeight="false" outlineLevel="0" collapsed="false">
      <c r="A307" s="18" t="str">
        <f aca="false">IFERROR(MID(D307,1,FIND("|",D307)-1)&amp;"-"&amp;C307,"")</f>
        <v/>
      </c>
    </row>
    <row r="308" customFormat="false" ht="14.25" hidden="false" customHeight="false" outlineLevel="0" collapsed="false">
      <c r="A308" s="18" t="str">
        <f aca="false">IFERROR(MID(D308,1,FIND("|",D308)-1)&amp;"-"&amp;C308,"")</f>
        <v/>
      </c>
    </row>
    <row r="309" customFormat="false" ht="14.25" hidden="false" customHeight="false" outlineLevel="0" collapsed="false">
      <c r="A309" s="18" t="str">
        <f aca="false">IFERROR(MID(D309,1,FIND("|",D309)-1)&amp;"-"&amp;C309,"")</f>
        <v/>
      </c>
    </row>
    <row r="310" customFormat="false" ht="14.25" hidden="false" customHeight="false" outlineLevel="0" collapsed="false">
      <c r="A310" s="18" t="str">
        <f aca="false">IFERROR(MID(D310,1,FIND("|",D310)-1)&amp;"-"&amp;C310,"")</f>
        <v/>
      </c>
    </row>
    <row r="311" customFormat="false" ht="14.25" hidden="false" customHeight="false" outlineLevel="0" collapsed="false">
      <c r="A311" s="18" t="str">
        <f aca="false">IFERROR(MID(D311,1,FIND("|",D311)-1)&amp;"-"&amp;C311,"")</f>
        <v/>
      </c>
    </row>
    <row r="312" customFormat="false" ht="14.25" hidden="false" customHeight="false" outlineLevel="0" collapsed="false">
      <c r="A312" s="18" t="str">
        <f aca="false">IFERROR(MID(D312,1,FIND("|",D312)-1)&amp;"-"&amp;C312,"")</f>
        <v/>
      </c>
    </row>
    <row r="313" customFormat="false" ht="14.25" hidden="false" customHeight="false" outlineLevel="0" collapsed="false">
      <c r="A313" s="18" t="str">
        <f aca="false">IFERROR(MID(D313,1,FIND("|",D313)-1)&amp;"-"&amp;C313,"")</f>
        <v/>
      </c>
    </row>
    <row r="314" customFormat="false" ht="14.25" hidden="false" customHeight="false" outlineLevel="0" collapsed="false">
      <c r="A314" s="18" t="str">
        <f aca="false">IFERROR(MID(D314,1,FIND("|",D314)-1)&amp;"-"&amp;C314,"")</f>
        <v/>
      </c>
    </row>
    <row r="315" customFormat="false" ht="14.25" hidden="false" customHeight="false" outlineLevel="0" collapsed="false">
      <c r="A315" s="18" t="str">
        <f aca="false">IFERROR(MID(D315,1,FIND("|",D315)-1)&amp;"-"&amp;C315,"")</f>
        <v/>
      </c>
    </row>
    <row r="316" customFormat="false" ht="14.25" hidden="false" customHeight="false" outlineLevel="0" collapsed="false">
      <c r="A316" s="18" t="str">
        <f aca="false">IFERROR(MID(D316,1,FIND("|",D316)-1)&amp;"-"&amp;C316,"")</f>
        <v/>
      </c>
    </row>
    <row r="317" customFormat="false" ht="14.25" hidden="false" customHeight="false" outlineLevel="0" collapsed="false">
      <c r="A317" s="18" t="str">
        <f aca="false">IFERROR(MID(D317,1,FIND("|",D317)-1)&amp;"-"&amp;C317,"")</f>
        <v/>
      </c>
    </row>
    <row r="318" customFormat="false" ht="14.25" hidden="false" customHeight="false" outlineLevel="0" collapsed="false">
      <c r="A318" s="18" t="str">
        <f aca="false">IFERROR(MID(D318,1,FIND("|",D318)-1)&amp;"-"&amp;C318,"")</f>
        <v/>
      </c>
    </row>
    <row r="319" customFormat="false" ht="14.25" hidden="false" customHeight="false" outlineLevel="0" collapsed="false">
      <c r="A319" s="18" t="str">
        <f aca="false">IFERROR(MID(D319,1,FIND("|",D319)-1)&amp;"-"&amp;C319,"")</f>
        <v/>
      </c>
    </row>
    <row r="320" customFormat="false" ht="14.25" hidden="false" customHeight="false" outlineLevel="0" collapsed="false">
      <c r="A320" s="18" t="str">
        <f aca="false">IFERROR(MID(D320,1,FIND("|",D320)-1)&amp;"-"&amp;C320,"")</f>
        <v/>
      </c>
    </row>
    <row r="321" customFormat="false" ht="14.25" hidden="false" customHeight="false" outlineLevel="0" collapsed="false">
      <c r="A321" s="18" t="str">
        <f aca="false">IFERROR(MID(D321,1,FIND("|",D321)-1)&amp;"-"&amp;C321,"")</f>
        <v/>
      </c>
    </row>
    <row r="322" customFormat="false" ht="14.25" hidden="false" customHeight="false" outlineLevel="0" collapsed="false">
      <c r="A322" s="18" t="str">
        <f aca="false">IFERROR(MID(D322,1,FIND("|",D322)-1)&amp;"-"&amp;C322,"")</f>
        <v/>
      </c>
    </row>
    <row r="323" customFormat="false" ht="14.25" hidden="false" customHeight="false" outlineLevel="0" collapsed="false">
      <c r="A323" s="18" t="str">
        <f aca="false">IFERROR(MID(D323,1,FIND("|",D323)-1)&amp;"-"&amp;C323,"")</f>
        <v/>
      </c>
    </row>
    <row r="324" customFormat="false" ht="14.25" hidden="false" customHeight="false" outlineLevel="0" collapsed="false">
      <c r="A324" s="18" t="str">
        <f aca="false">IFERROR(MID(D324,1,FIND("|",D324)-1)&amp;"-"&amp;C324,"")</f>
        <v/>
      </c>
    </row>
    <row r="325" customFormat="false" ht="14.25" hidden="false" customHeight="false" outlineLevel="0" collapsed="false">
      <c r="A325" s="18" t="str">
        <f aca="false">IFERROR(MID(D325,1,FIND("|",D325)-1)&amp;"-"&amp;C325,"")</f>
        <v/>
      </c>
    </row>
    <row r="326" customFormat="false" ht="14.25" hidden="false" customHeight="false" outlineLevel="0" collapsed="false">
      <c r="A326" s="18" t="str">
        <f aca="false">IFERROR(MID(D326,1,FIND("|",D326)-1)&amp;"-"&amp;C326,"")</f>
        <v/>
      </c>
    </row>
    <row r="327" customFormat="false" ht="14.25" hidden="false" customHeight="false" outlineLevel="0" collapsed="false">
      <c r="A327" s="18" t="str">
        <f aca="false">IFERROR(MID(D327,1,FIND("|",D327)-1)&amp;"-"&amp;C327,"")</f>
        <v/>
      </c>
    </row>
    <row r="328" customFormat="false" ht="14.25" hidden="false" customHeight="false" outlineLevel="0" collapsed="false">
      <c r="A328" s="18" t="str">
        <f aca="false">IFERROR(MID(D328,1,FIND("|",D328)-1)&amp;"-"&amp;C328,"")</f>
        <v/>
      </c>
    </row>
    <row r="329" customFormat="false" ht="14.25" hidden="false" customHeight="false" outlineLevel="0" collapsed="false">
      <c r="A329" s="18" t="str">
        <f aca="false">IFERROR(MID(D329,1,FIND("|",D329)-1)&amp;"-"&amp;C329,"")</f>
        <v/>
      </c>
    </row>
    <row r="330" customFormat="false" ht="14.25" hidden="false" customHeight="false" outlineLevel="0" collapsed="false">
      <c r="A330" s="18" t="str">
        <f aca="false">IFERROR(MID(D330,1,FIND("|",D330)-1)&amp;"-"&amp;C330,"")</f>
        <v/>
      </c>
    </row>
    <row r="331" customFormat="false" ht="14.25" hidden="false" customHeight="false" outlineLevel="0" collapsed="false">
      <c r="A331" s="18" t="str">
        <f aca="false">IFERROR(MID(D331,1,FIND("|",D331)-1)&amp;"-"&amp;C331,"")</f>
        <v/>
      </c>
    </row>
    <row r="332" customFormat="false" ht="14.25" hidden="false" customHeight="false" outlineLevel="0" collapsed="false">
      <c r="A332" s="18" t="str">
        <f aca="false">IFERROR(MID(D332,1,FIND("|",D332)-1)&amp;"-"&amp;C332,"")</f>
        <v/>
      </c>
    </row>
    <row r="333" customFormat="false" ht="14.25" hidden="false" customHeight="false" outlineLevel="0" collapsed="false">
      <c r="A333" s="18" t="str">
        <f aca="false">IFERROR(MID(D333,1,FIND("|",D333)-1)&amp;"-"&amp;C333,"")</f>
        <v/>
      </c>
    </row>
    <row r="334" customFormat="false" ht="14.25" hidden="false" customHeight="false" outlineLevel="0" collapsed="false">
      <c r="A334" s="18" t="str">
        <f aca="false">IFERROR(MID(D334,1,FIND("|",D334)-1)&amp;"-"&amp;C334,"")</f>
        <v/>
      </c>
    </row>
    <row r="335" customFormat="false" ht="14.25" hidden="false" customHeight="false" outlineLevel="0" collapsed="false">
      <c r="A335" s="18" t="str">
        <f aca="false">IFERROR(MID(D335,1,FIND("|",D335)-1)&amp;"-"&amp;C335,"")</f>
        <v/>
      </c>
    </row>
    <row r="336" customFormat="false" ht="14.25" hidden="false" customHeight="false" outlineLevel="0" collapsed="false">
      <c r="A336" s="18" t="str">
        <f aca="false">IFERROR(MID(D336,1,FIND("|",D336)-1)&amp;"-"&amp;C336,"")</f>
        <v/>
      </c>
    </row>
    <row r="337" customFormat="false" ht="14.25" hidden="false" customHeight="false" outlineLevel="0" collapsed="false">
      <c r="A337" s="18" t="str">
        <f aca="false">IFERROR(MID(D337,1,FIND("|",D337)-1)&amp;"-"&amp;C337,"")</f>
        <v/>
      </c>
    </row>
    <row r="338" customFormat="false" ht="14.25" hidden="false" customHeight="false" outlineLevel="0" collapsed="false">
      <c r="A338" s="18" t="str">
        <f aca="false">IFERROR(MID(D338,1,FIND("|",D338)-1)&amp;"-"&amp;C338,"")</f>
        <v/>
      </c>
    </row>
    <row r="339" customFormat="false" ht="14.25" hidden="false" customHeight="false" outlineLevel="0" collapsed="false">
      <c r="A339" s="18" t="str">
        <f aca="false">IFERROR(MID(D339,1,FIND("|",D339)-1)&amp;"-"&amp;C339,"")</f>
        <v/>
      </c>
    </row>
    <row r="340" customFormat="false" ht="14.25" hidden="false" customHeight="false" outlineLevel="0" collapsed="false">
      <c r="A340" s="18" t="str">
        <f aca="false">IFERROR(MID(D340,1,FIND("|",D340)-1)&amp;"-"&amp;C340,"")</f>
        <v/>
      </c>
    </row>
    <row r="341" customFormat="false" ht="14.25" hidden="false" customHeight="false" outlineLevel="0" collapsed="false">
      <c r="A341" s="18" t="str">
        <f aca="false">IFERROR(MID(D341,1,FIND("|",D341)-1)&amp;"-"&amp;C341,"")</f>
        <v/>
      </c>
    </row>
    <row r="342" customFormat="false" ht="14.25" hidden="false" customHeight="false" outlineLevel="0" collapsed="false">
      <c r="A342" s="18" t="str">
        <f aca="false">IFERROR(MID(D342,1,FIND("|",D342)-1)&amp;"-"&amp;C342,"")</f>
        <v/>
      </c>
    </row>
    <row r="343" customFormat="false" ht="14.25" hidden="false" customHeight="false" outlineLevel="0" collapsed="false">
      <c r="A343" s="18" t="str">
        <f aca="false">IFERROR(MID(D343,1,FIND("|",D343)-1)&amp;"-"&amp;C343,"")</f>
        <v/>
      </c>
    </row>
    <row r="344" customFormat="false" ht="14.25" hidden="false" customHeight="false" outlineLevel="0" collapsed="false">
      <c r="A344" s="18" t="str">
        <f aca="false">IFERROR(MID(D344,1,FIND("|",D344)-1)&amp;"-"&amp;C344,"")</f>
        <v/>
      </c>
    </row>
    <row r="345" customFormat="false" ht="14.25" hidden="false" customHeight="false" outlineLevel="0" collapsed="false">
      <c r="A345" s="18" t="str">
        <f aca="false">IFERROR(MID(D345,1,FIND("|",D345)-1)&amp;"-"&amp;C345,"")</f>
        <v/>
      </c>
    </row>
    <row r="346" customFormat="false" ht="14.25" hidden="false" customHeight="false" outlineLevel="0" collapsed="false">
      <c r="A346" s="18" t="str">
        <f aca="false">IFERROR(MID(D346,1,FIND("|",D346)-1)&amp;"-"&amp;C346,"")</f>
        <v/>
      </c>
    </row>
    <row r="347" customFormat="false" ht="14.25" hidden="false" customHeight="false" outlineLevel="0" collapsed="false">
      <c r="A347" s="18" t="str">
        <f aca="false">IFERROR(MID(D347,1,FIND("|",D347)-1)&amp;"-"&amp;C347,"")</f>
        <v/>
      </c>
    </row>
    <row r="348" customFormat="false" ht="14.25" hidden="false" customHeight="false" outlineLevel="0" collapsed="false">
      <c r="A348" s="18" t="str">
        <f aca="false">IFERROR(MID(D348,1,FIND("|",D348)-1)&amp;"-"&amp;C348,"")</f>
        <v/>
      </c>
    </row>
    <row r="349" customFormat="false" ht="14.25" hidden="false" customHeight="false" outlineLevel="0" collapsed="false">
      <c r="A349" s="18" t="str">
        <f aca="false">IFERROR(MID(D349,1,FIND("|",D349)-1)&amp;"-"&amp;C349,"")</f>
        <v/>
      </c>
    </row>
    <row r="350" customFormat="false" ht="14.25" hidden="false" customHeight="false" outlineLevel="0" collapsed="false">
      <c r="A350" s="18" t="str">
        <f aca="false">IFERROR(MID(D350,1,FIND("|",D350)-1)&amp;"-"&amp;C350,"")</f>
        <v/>
      </c>
    </row>
    <row r="351" customFormat="false" ht="14.25" hidden="false" customHeight="false" outlineLevel="0" collapsed="false">
      <c r="A351" s="18" t="str">
        <f aca="false">IFERROR(MID(D351,1,FIND("|",D351)-1)&amp;"-"&amp;C351,"")</f>
        <v/>
      </c>
    </row>
    <row r="352" customFormat="false" ht="14.25" hidden="false" customHeight="false" outlineLevel="0" collapsed="false">
      <c r="A352" s="18" t="str">
        <f aca="false">IFERROR(MID(D352,1,FIND("|",D352)-1)&amp;"-"&amp;C352,"")</f>
        <v/>
      </c>
    </row>
    <row r="353" customFormat="false" ht="14.25" hidden="false" customHeight="false" outlineLevel="0" collapsed="false">
      <c r="A353" s="18" t="str">
        <f aca="false">IFERROR(MID(D353,1,FIND("|",D353)-1)&amp;"-"&amp;C353,"")</f>
        <v/>
      </c>
    </row>
    <row r="354" customFormat="false" ht="14.25" hidden="false" customHeight="false" outlineLevel="0" collapsed="false">
      <c r="A354" s="18" t="str">
        <f aca="false">IFERROR(MID(D354,1,FIND("|",D354)-1)&amp;"-"&amp;C354,"")</f>
        <v/>
      </c>
    </row>
    <row r="355" customFormat="false" ht="14.25" hidden="false" customHeight="false" outlineLevel="0" collapsed="false">
      <c r="A355" s="18" t="str">
        <f aca="false">IFERROR(MID(D355,1,FIND("|",D355)-1)&amp;"-"&amp;C355,"")</f>
        <v/>
      </c>
    </row>
    <row r="356" customFormat="false" ht="14.25" hidden="false" customHeight="false" outlineLevel="0" collapsed="false">
      <c r="A356" s="18" t="str">
        <f aca="false">IFERROR(MID(D356,1,FIND("|",D356)-1)&amp;"-"&amp;C356,"")</f>
        <v/>
      </c>
    </row>
    <row r="357" customFormat="false" ht="14.25" hidden="false" customHeight="false" outlineLevel="0" collapsed="false">
      <c r="A357" s="18" t="str">
        <f aca="false">IFERROR(MID(D357,1,FIND("|",D357)-1)&amp;"-"&amp;C357,"")</f>
        <v/>
      </c>
    </row>
    <row r="358" customFormat="false" ht="14.25" hidden="false" customHeight="false" outlineLevel="0" collapsed="false">
      <c r="A358" s="18" t="str">
        <f aca="false">IFERROR(MID(D358,1,FIND("|",D358)-1)&amp;"-"&amp;C358,"")</f>
        <v/>
      </c>
    </row>
    <row r="359" customFormat="false" ht="14.25" hidden="false" customHeight="false" outlineLevel="0" collapsed="false">
      <c r="A359" s="18" t="str">
        <f aca="false">IFERROR(MID(D359,1,FIND("|",D359)-1)&amp;"-"&amp;C359,"")</f>
        <v/>
      </c>
    </row>
    <row r="360" customFormat="false" ht="14.25" hidden="false" customHeight="false" outlineLevel="0" collapsed="false">
      <c r="A360" s="18" t="str">
        <f aca="false">IFERROR(MID(D360,1,FIND("|",D360)-1)&amp;"-"&amp;C360,"")</f>
        <v/>
      </c>
    </row>
    <row r="361" customFormat="false" ht="14.25" hidden="false" customHeight="false" outlineLevel="0" collapsed="false">
      <c r="A361" s="18" t="str">
        <f aca="false">IFERROR(MID(D361,1,FIND("|",D361)-1)&amp;"-"&amp;C361,"")</f>
        <v/>
      </c>
    </row>
    <row r="362" customFormat="false" ht="14.25" hidden="false" customHeight="false" outlineLevel="0" collapsed="false">
      <c r="A362" s="18" t="str">
        <f aca="false">IFERROR(MID(D362,1,FIND("|",D362)-1)&amp;"-"&amp;C362,"")</f>
        <v/>
      </c>
    </row>
    <row r="363" customFormat="false" ht="14.25" hidden="false" customHeight="false" outlineLevel="0" collapsed="false">
      <c r="A363" s="18" t="str">
        <f aca="false">IFERROR(MID(D363,1,FIND("|",D363)-1)&amp;"-"&amp;C363,"")</f>
        <v/>
      </c>
    </row>
    <row r="364" customFormat="false" ht="14.25" hidden="false" customHeight="false" outlineLevel="0" collapsed="false">
      <c r="A364" s="18" t="str">
        <f aca="false">IFERROR(MID(D364,1,FIND("|",D364)-1)&amp;"-"&amp;C364,"")</f>
        <v/>
      </c>
    </row>
    <row r="365" customFormat="false" ht="14.25" hidden="false" customHeight="false" outlineLevel="0" collapsed="false">
      <c r="A365" s="18" t="str">
        <f aca="false">IFERROR(MID(D365,1,FIND("|",D365)-1)&amp;"-"&amp;C365,"")</f>
        <v/>
      </c>
    </row>
    <row r="366" customFormat="false" ht="14.25" hidden="false" customHeight="false" outlineLevel="0" collapsed="false">
      <c r="A366" s="18" t="str">
        <f aca="false">IFERROR(MID(D366,1,FIND("|",D366)-1)&amp;"-"&amp;C366,"")</f>
        <v/>
      </c>
    </row>
    <row r="367" customFormat="false" ht="14.25" hidden="false" customHeight="false" outlineLevel="0" collapsed="false">
      <c r="A367" s="18" t="str">
        <f aca="false">IFERROR(MID(D367,1,FIND("|",D367)-1)&amp;"-"&amp;C367,"")</f>
        <v/>
      </c>
    </row>
    <row r="368" customFormat="false" ht="14.25" hidden="false" customHeight="false" outlineLevel="0" collapsed="false">
      <c r="A368" s="18" t="str">
        <f aca="false">IFERROR(MID(D368,1,FIND("|",D368)-1)&amp;"-"&amp;C368,"")</f>
        <v/>
      </c>
    </row>
    <row r="369" customFormat="false" ht="14.25" hidden="false" customHeight="false" outlineLevel="0" collapsed="false">
      <c r="A369" s="18" t="str">
        <f aca="false">IFERROR(MID(D369,1,FIND("|",D369)-1)&amp;"-"&amp;C369,"")</f>
        <v/>
      </c>
    </row>
    <row r="370" customFormat="false" ht="14.25" hidden="false" customHeight="false" outlineLevel="0" collapsed="false">
      <c r="A370" s="18" t="str">
        <f aca="false">IFERROR(MID(D370,1,FIND("|",D370)-1)&amp;"-"&amp;C370,"")</f>
        <v/>
      </c>
    </row>
    <row r="371" customFormat="false" ht="14.25" hidden="false" customHeight="false" outlineLevel="0" collapsed="false">
      <c r="A371" s="18" t="str">
        <f aca="false">IFERROR(MID(D371,1,FIND("|",D371)-1)&amp;"-"&amp;C371,"")</f>
        <v/>
      </c>
    </row>
    <row r="372" customFormat="false" ht="14.25" hidden="false" customHeight="false" outlineLevel="0" collapsed="false">
      <c r="A372" s="18" t="str">
        <f aca="false">IFERROR(MID(D372,1,FIND("|",D372)-1)&amp;"-"&amp;C372,"")</f>
        <v/>
      </c>
    </row>
    <row r="373" customFormat="false" ht="14.25" hidden="false" customHeight="false" outlineLevel="0" collapsed="false">
      <c r="A373" s="18" t="str">
        <f aca="false">IFERROR(MID(D373,1,FIND("|",D373)-1)&amp;"-"&amp;C373,"")</f>
        <v/>
      </c>
    </row>
    <row r="374" customFormat="false" ht="14.25" hidden="false" customHeight="false" outlineLevel="0" collapsed="false">
      <c r="A374" s="18" t="str">
        <f aca="false">IFERROR(MID(D374,1,FIND("|",D374)-1)&amp;"-"&amp;C374,"")</f>
        <v/>
      </c>
    </row>
    <row r="375" customFormat="false" ht="14.25" hidden="false" customHeight="false" outlineLevel="0" collapsed="false">
      <c r="A375" s="18" t="str">
        <f aca="false">IFERROR(MID(D375,1,FIND("|",D375)-1)&amp;"-"&amp;C375,"")</f>
        <v/>
      </c>
    </row>
    <row r="376" customFormat="false" ht="14.25" hidden="false" customHeight="false" outlineLevel="0" collapsed="false">
      <c r="A376" s="18" t="str">
        <f aca="false">IFERROR(MID(D376,1,FIND("|",D376)-1)&amp;"-"&amp;C376,"")</f>
        <v/>
      </c>
    </row>
    <row r="377" customFormat="false" ht="14.25" hidden="false" customHeight="false" outlineLevel="0" collapsed="false">
      <c r="A377" s="18" t="str">
        <f aca="false">IFERROR(MID(D377,1,FIND("|",D377)-1)&amp;"-"&amp;C377,"")</f>
        <v/>
      </c>
    </row>
    <row r="378" customFormat="false" ht="14.25" hidden="false" customHeight="false" outlineLevel="0" collapsed="false">
      <c r="A378" s="18" t="str">
        <f aca="false">IFERROR(MID(D378,1,FIND("|",D378)-1)&amp;"-"&amp;C378,"")</f>
        <v/>
      </c>
    </row>
    <row r="379" customFormat="false" ht="14.25" hidden="false" customHeight="false" outlineLevel="0" collapsed="false">
      <c r="A379" s="18" t="str">
        <f aca="false">IFERROR(MID(D379,1,FIND("|",D379)-1)&amp;"-"&amp;C379,"")</f>
        <v/>
      </c>
    </row>
    <row r="380" customFormat="false" ht="14.25" hidden="false" customHeight="false" outlineLevel="0" collapsed="false">
      <c r="A380" s="18" t="str">
        <f aca="false">IFERROR(MID(D380,1,FIND("|",D380)-1)&amp;"-"&amp;C380,"")</f>
        <v/>
      </c>
    </row>
    <row r="381" customFormat="false" ht="14.25" hidden="false" customHeight="false" outlineLevel="0" collapsed="false">
      <c r="A381" s="18" t="str">
        <f aca="false">IFERROR(MID(D381,1,FIND("|",D381)-1)&amp;"-"&amp;C381,"")</f>
        <v/>
      </c>
    </row>
    <row r="382" customFormat="false" ht="14.25" hidden="false" customHeight="false" outlineLevel="0" collapsed="false">
      <c r="A382" s="18" t="str">
        <f aca="false">IFERROR(MID(D382,1,FIND("|",D382)-1)&amp;"-"&amp;C382,"")</f>
        <v/>
      </c>
    </row>
    <row r="383" customFormat="false" ht="14.25" hidden="false" customHeight="false" outlineLevel="0" collapsed="false">
      <c r="A383" s="18" t="str">
        <f aca="false">IFERROR(MID(D383,1,FIND("|",D383)-1)&amp;"-"&amp;C383,"")</f>
        <v/>
      </c>
    </row>
    <row r="384" customFormat="false" ht="14.25" hidden="false" customHeight="false" outlineLevel="0" collapsed="false">
      <c r="A384" s="18" t="str">
        <f aca="false">IFERROR(MID(D384,1,FIND("|",D384)-1)&amp;"-"&amp;C384,"")</f>
        <v/>
      </c>
    </row>
    <row r="385" customFormat="false" ht="14.25" hidden="false" customHeight="false" outlineLevel="0" collapsed="false">
      <c r="A385" s="18" t="str">
        <f aca="false">IFERROR(MID(D385,1,FIND("|",D385)-1)&amp;"-"&amp;C385,"")</f>
        <v/>
      </c>
    </row>
    <row r="386" customFormat="false" ht="14.25" hidden="false" customHeight="false" outlineLevel="0" collapsed="false">
      <c r="A386" s="18" t="str">
        <f aca="false">IFERROR(MID(D386,1,FIND("|",D386)-1)&amp;"-"&amp;C386,"")</f>
        <v/>
      </c>
    </row>
    <row r="387" customFormat="false" ht="14.25" hidden="false" customHeight="false" outlineLevel="0" collapsed="false">
      <c r="A387" s="18" t="str">
        <f aca="false">IFERROR(MID(D387,1,FIND("|",D387)-1)&amp;"-"&amp;C387,"")</f>
        <v/>
      </c>
    </row>
    <row r="388" customFormat="false" ht="14.25" hidden="false" customHeight="false" outlineLevel="0" collapsed="false">
      <c r="A388" s="18" t="str">
        <f aca="false">IFERROR(MID(D388,1,FIND("|",D388)-1)&amp;"-"&amp;C388,"")</f>
        <v/>
      </c>
    </row>
    <row r="389" customFormat="false" ht="14.25" hidden="false" customHeight="false" outlineLevel="0" collapsed="false">
      <c r="A389" s="18" t="str">
        <f aca="false">IFERROR(MID(D389,1,FIND("|",D389)-1)&amp;"-"&amp;C389,"")</f>
        <v/>
      </c>
    </row>
    <row r="390" customFormat="false" ht="14.25" hidden="false" customHeight="false" outlineLevel="0" collapsed="false">
      <c r="A390" s="18" t="str">
        <f aca="false">IFERROR(MID(D390,1,FIND("|",D390)-1)&amp;"-"&amp;C390,"")</f>
        <v/>
      </c>
    </row>
    <row r="391" customFormat="false" ht="14.25" hidden="false" customHeight="false" outlineLevel="0" collapsed="false">
      <c r="A391" s="18" t="str">
        <f aca="false">IFERROR(MID(D391,1,FIND("|",D391)-1)&amp;"-"&amp;C391,"")</f>
        <v/>
      </c>
    </row>
    <row r="392" customFormat="false" ht="14.25" hidden="false" customHeight="false" outlineLevel="0" collapsed="false">
      <c r="A392" s="18" t="str">
        <f aca="false">IFERROR(MID(D392,1,FIND("|",D392)-1)&amp;"-"&amp;C392,"")</f>
        <v/>
      </c>
    </row>
    <row r="393" customFormat="false" ht="14.25" hidden="false" customHeight="false" outlineLevel="0" collapsed="false">
      <c r="A393" s="18" t="str">
        <f aca="false">IFERROR(MID(D393,1,FIND("|",D393)-1)&amp;"-"&amp;C393,"")</f>
        <v/>
      </c>
    </row>
    <row r="394" customFormat="false" ht="14.25" hidden="false" customHeight="false" outlineLevel="0" collapsed="false">
      <c r="A394" s="18" t="str">
        <f aca="false">IFERROR(MID(D394,1,FIND("|",D394)-1)&amp;"-"&amp;C394,"")</f>
        <v/>
      </c>
    </row>
    <row r="395" customFormat="false" ht="14.25" hidden="false" customHeight="false" outlineLevel="0" collapsed="false">
      <c r="A395" s="18" t="str">
        <f aca="false">IFERROR(MID(D395,1,FIND("|",D395)-1)&amp;"-"&amp;C395,"")</f>
        <v/>
      </c>
    </row>
    <row r="396" customFormat="false" ht="14.25" hidden="false" customHeight="false" outlineLevel="0" collapsed="false">
      <c r="A396" s="18" t="str">
        <f aca="false">IFERROR(MID(D396,1,FIND("|",D396)-1)&amp;"-"&amp;C396,"")</f>
        <v/>
      </c>
    </row>
    <row r="397" customFormat="false" ht="14.25" hidden="false" customHeight="false" outlineLevel="0" collapsed="false">
      <c r="A397" s="18" t="str">
        <f aca="false">IFERROR(MID(D397,1,FIND("|",D397)-1)&amp;"-"&amp;C397,"")</f>
        <v/>
      </c>
    </row>
    <row r="398" customFormat="false" ht="14.25" hidden="false" customHeight="false" outlineLevel="0" collapsed="false">
      <c r="A398" s="18" t="str">
        <f aca="false">IFERROR(MID(D398,1,FIND("|",D398)-1)&amp;"-"&amp;C398,"")</f>
        <v/>
      </c>
    </row>
    <row r="399" customFormat="false" ht="14.25" hidden="false" customHeight="false" outlineLevel="0" collapsed="false">
      <c r="A399" s="18" t="str">
        <f aca="false">IFERROR(MID(D399,1,FIND("|",D399)-1)&amp;"-"&amp;C399,"")</f>
        <v/>
      </c>
    </row>
    <row r="400" customFormat="false" ht="14.25" hidden="false" customHeight="false" outlineLevel="0" collapsed="false">
      <c r="A400" s="18" t="str">
        <f aca="false">IFERROR(MID(D400,1,FIND("|",D400)-1)&amp;"-"&amp;C400,"")</f>
        <v/>
      </c>
    </row>
    <row r="401" customFormat="false" ht="14.25" hidden="false" customHeight="false" outlineLevel="0" collapsed="false">
      <c r="A401" s="18" t="str">
        <f aca="false">IFERROR(MID(D401,1,FIND("|",D401)-1)&amp;"-"&amp;C401,"")</f>
        <v/>
      </c>
    </row>
    <row r="402" customFormat="false" ht="14.25" hidden="false" customHeight="false" outlineLevel="0" collapsed="false">
      <c r="A402" s="18" t="str">
        <f aca="false">IFERROR(MID(D402,1,FIND("|",D402)-1)&amp;"-"&amp;C402,"")</f>
        <v/>
      </c>
    </row>
    <row r="403" customFormat="false" ht="14.25" hidden="false" customHeight="false" outlineLevel="0" collapsed="false">
      <c r="A403" s="18" t="str">
        <f aca="false">IFERROR(MID(D403,1,FIND("|",D403)-1)&amp;"-"&amp;C403,"")</f>
        <v/>
      </c>
    </row>
    <row r="404" customFormat="false" ht="14.25" hidden="false" customHeight="false" outlineLevel="0" collapsed="false">
      <c r="A404" s="18" t="str">
        <f aca="false">IFERROR(MID(D404,1,FIND("|",D404)-1)&amp;"-"&amp;C404,"")</f>
        <v/>
      </c>
    </row>
    <row r="405" customFormat="false" ht="14.25" hidden="false" customHeight="false" outlineLevel="0" collapsed="false">
      <c r="A405" s="18" t="str">
        <f aca="false">IFERROR(MID(D405,1,FIND("|",D405)-1)&amp;"-"&amp;C405,"")</f>
        <v/>
      </c>
    </row>
    <row r="406" customFormat="false" ht="14.25" hidden="false" customHeight="false" outlineLevel="0" collapsed="false">
      <c r="A406" s="18" t="str">
        <f aca="false">IFERROR(MID(D406,1,FIND("|",D406)-1)&amp;"-"&amp;C406,"")</f>
        <v/>
      </c>
    </row>
    <row r="407" customFormat="false" ht="14.25" hidden="false" customHeight="false" outlineLevel="0" collapsed="false">
      <c r="A407" s="18" t="str">
        <f aca="false">IFERROR(MID(D407,1,FIND("|",D407)-1)&amp;"-"&amp;C407,"")</f>
        <v/>
      </c>
    </row>
    <row r="408" customFormat="false" ht="14.25" hidden="false" customHeight="false" outlineLevel="0" collapsed="false">
      <c r="A408" s="18" t="str">
        <f aca="false">IFERROR(MID(D408,1,FIND("|",D408)-1)&amp;"-"&amp;C408,"")</f>
        <v/>
      </c>
    </row>
    <row r="409" customFormat="false" ht="14.25" hidden="false" customHeight="false" outlineLevel="0" collapsed="false">
      <c r="A409" s="18" t="str">
        <f aca="false">IFERROR(MID(D409,1,FIND("|",D409)-1)&amp;"-"&amp;C409,"")</f>
        <v/>
      </c>
    </row>
    <row r="410" customFormat="false" ht="14.25" hidden="false" customHeight="false" outlineLevel="0" collapsed="false">
      <c r="A410" s="18" t="str">
        <f aca="false">IFERROR(MID(D410,1,FIND("|",D410)-1)&amp;"-"&amp;C410,"")</f>
        <v/>
      </c>
    </row>
    <row r="411" customFormat="false" ht="14.25" hidden="false" customHeight="false" outlineLevel="0" collapsed="false">
      <c r="A411" s="18" t="str">
        <f aca="false">IFERROR(MID(D411,1,FIND("|",D411)-1)&amp;"-"&amp;C411,"")</f>
        <v/>
      </c>
    </row>
    <row r="412" customFormat="false" ht="14.25" hidden="false" customHeight="false" outlineLevel="0" collapsed="false">
      <c r="A412" s="18" t="str">
        <f aca="false">IFERROR(MID(D412,1,FIND("|",D412)-1)&amp;"-"&amp;C412,"")</f>
        <v/>
      </c>
    </row>
    <row r="413" customFormat="false" ht="14.25" hidden="false" customHeight="false" outlineLevel="0" collapsed="false">
      <c r="A413" s="18" t="str">
        <f aca="false">IFERROR(MID(D413,1,FIND("|",D413)-1)&amp;"-"&amp;C413,"")</f>
        <v/>
      </c>
    </row>
    <row r="414" customFormat="false" ht="14.25" hidden="false" customHeight="false" outlineLevel="0" collapsed="false">
      <c r="A414" s="18" t="str">
        <f aca="false">IFERROR(MID(D414,1,FIND("|",D414)-1)&amp;"-"&amp;C414,"")</f>
        <v/>
      </c>
    </row>
    <row r="415" customFormat="false" ht="14.25" hidden="false" customHeight="false" outlineLevel="0" collapsed="false">
      <c r="A415" s="18" t="str">
        <f aca="false">IFERROR(MID(D415,1,FIND("|",D415)-1)&amp;"-"&amp;C415,"")</f>
        <v/>
      </c>
    </row>
    <row r="416" customFormat="false" ht="14.25" hidden="false" customHeight="false" outlineLevel="0" collapsed="false">
      <c r="A416" s="18" t="str">
        <f aca="false">IFERROR(MID(D416,1,FIND("|",D416)-1)&amp;"-"&amp;C416,"")</f>
        <v/>
      </c>
    </row>
    <row r="417" customFormat="false" ht="14.25" hidden="false" customHeight="false" outlineLevel="0" collapsed="false">
      <c r="A417" s="18" t="str">
        <f aca="false">IFERROR(MID(D417,1,FIND("|",D417)-1)&amp;"-"&amp;C417,"")</f>
        <v/>
      </c>
    </row>
    <row r="418" customFormat="false" ht="14.25" hidden="false" customHeight="false" outlineLevel="0" collapsed="false">
      <c r="A418" s="18" t="str">
        <f aca="false">IFERROR(MID(D418,1,FIND("|",D418)-1)&amp;"-"&amp;C418,"")</f>
        <v/>
      </c>
    </row>
    <row r="419" customFormat="false" ht="14.25" hidden="false" customHeight="false" outlineLevel="0" collapsed="false">
      <c r="A419" s="18" t="str">
        <f aca="false">IFERROR(MID(D419,1,FIND("|",D419)-1)&amp;"-"&amp;C419,"")</f>
        <v/>
      </c>
    </row>
    <row r="420" customFormat="false" ht="14.25" hidden="false" customHeight="false" outlineLevel="0" collapsed="false">
      <c r="A420" s="18" t="str">
        <f aca="false">IFERROR(MID(D420,1,FIND("|",D420)-1)&amp;"-"&amp;C420,"")</f>
        <v/>
      </c>
    </row>
    <row r="421" customFormat="false" ht="14.25" hidden="false" customHeight="false" outlineLevel="0" collapsed="false">
      <c r="A421" s="18" t="str">
        <f aca="false">IFERROR(MID(D421,1,FIND("|",D421)-1)&amp;"-"&amp;C421,"")</f>
        <v/>
      </c>
    </row>
    <row r="422" customFormat="false" ht="14.25" hidden="false" customHeight="false" outlineLevel="0" collapsed="false">
      <c r="A422" s="18" t="str">
        <f aca="false">IFERROR(MID(D422,1,FIND("|",D422)-1)&amp;"-"&amp;C422,"")</f>
        <v/>
      </c>
    </row>
    <row r="423" customFormat="false" ht="14.25" hidden="false" customHeight="false" outlineLevel="0" collapsed="false">
      <c r="A423" s="18" t="str">
        <f aca="false">IFERROR(MID(D423,1,FIND("|",D423)-1)&amp;"-"&amp;C423,"")</f>
        <v/>
      </c>
    </row>
    <row r="424" customFormat="false" ht="14.25" hidden="false" customHeight="false" outlineLevel="0" collapsed="false">
      <c r="A424" s="18" t="str">
        <f aca="false">IFERROR(MID(D424,1,FIND("|",D424)-1)&amp;"-"&amp;C424,"")</f>
        <v/>
      </c>
    </row>
    <row r="425" customFormat="false" ht="14.25" hidden="false" customHeight="false" outlineLevel="0" collapsed="false">
      <c r="A425" s="18" t="str">
        <f aca="false">IFERROR(MID(D425,1,FIND("|",D425)-1)&amp;"-"&amp;C425,"")</f>
        <v/>
      </c>
    </row>
    <row r="426" customFormat="false" ht="14.25" hidden="false" customHeight="false" outlineLevel="0" collapsed="false">
      <c r="A426" s="18" t="str">
        <f aca="false">IFERROR(MID(D426,1,FIND("|",D426)-1)&amp;"-"&amp;C426,"")</f>
        <v/>
      </c>
    </row>
    <row r="427" customFormat="false" ht="14.25" hidden="false" customHeight="false" outlineLevel="0" collapsed="false">
      <c r="A427" s="18" t="str">
        <f aca="false">IFERROR(MID(D427,1,FIND("|",D427)-1)&amp;"-"&amp;C427,"")</f>
        <v/>
      </c>
    </row>
    <row r="428" customFormat="false" ht="14.25" hidden="false" customHeight="false" outlineLevel="0" collapsed="false">
      <c r="A428" s="18" t="str">
        <f aca="false">IFERROR(MID(D428,1,FIND("|",D428)-1)&amp;"-"&amp;C428,"")</f>
        <v/>
      </c>
    </row>
    <row r="429" customFormat="false" ht="14.25" hidden="false" customHeight="false" outlineLevel="0" collapsed="false">
      <c r="A429" s="18" t="str">
        <f aca="false">IFERROR(MID(D429,1,FIND("|",D429)-1)&amp;"-"&amp;C429,"")</f>
        <v/>
      </c>
    </row>
    <row r="430" customFormat="false" ht="14.25" hidden="false" customHeight="false" outlineLevel="0" collapsed="false">
      <c r="A430" s="18" t="str">
        <f aca="false">IFERROR(MID(D430,1,FIND("|",D430)-1)&amp;"-"&amp;C430,"")</f>
        <v/>
      </c>
    </row>
    <row r="431" customFormat="false" ht="14.25" hidden="false" customHeight="false" outlineLevel="0" collapsed="false">
      <c r="A431" s="18" t="str">
        <f aca="false">IFERROR(MID(D431,1,FIND("|",D431)-1)&amp;"-"&amp;C431,"")</f>
        <v/>
      </c>
    </row>
    <row r="432" customFormat="false" ht="14.25" hidden="false" customHeight="false" outlineLevel="0" collapsed="false">
      <c r="A432" s="18" t="str">
        <f aca="false">IFERROR(MID(D432,1,FIND("|",D432)-1)&amp;"-"&amp;C432,"")</f>
        <v/>
      </c>
    </row>
    <row r="433" customFormat="false" ht="14.25" hidden="false" customHeight="false" outlineLevel="0" collapsed="false">
      <c r="A433" s="18" t="str">
        <f aca="false">IFERROR(MID(D433,1,FIND("|",D433)-1)&amp;"-"&amp;C433,"")</f>
        <v/>
      </c>
    </row>
    <row r="434" customFormat="false" ht="14.25" hidden="false" customHeight="false" outlineLevel="0" collapsed="false">
      <c r="A434" s="18" t="str">
        <f aca="false">IFERROR(MID(D434,1,FIND("|",D434)-1)&amp;"-"&amp;C434,"")</f>
        <v/>
      </c>
    </row>
    <row r="435" customFormat="false" ht="14.25" hidden="false" customHeight="false" outlineLevel="0" collapsed="false">
      <c r="A435" s="18" t="str">
        <f aca="false">IFERROR(MID(D435,1,FIND("|",D435)-1)&amp;"-"&amp;C435,"")</f>
        <v/>
      </c>
    </row>
    <row r="436" customFormat="false" ht="14.25" hidden="false" customHeight="false" outlineLevel="0" collapsed="false">
      <c r="A436" s="18" t="str">
        <f aca="false">IFERROR(MID(D436,1,FIND("|",D436)-1)&amp;"-"&amp;C436,"")</f>
        <v/>
      </c>
    </row>
    <row r="437" customFormat="false" ht="14.25" hidden="false" customHeight="false" outlineLevel="0" collapsed="false">
      <c r="A437" s="18" t="str">
        <f aca="false">IFERROR(MID(D437,1,FIND("|",D437)-1)&amp;"-"&amp;C437,"")</f>
        <v/>
      </c>
    </row>
    <row r="438" customFormat="false" ht="14.25" hidden="false" customHeight="false" outlineLevel="0" collapsed="false">
      <c r="A438" s="18" t="str">
        <f aca="false">IFERROR(MID(D438,1,FIND("|",D438)-1)&amp;"-"&amp;C438,"")</f>
        <v/>
      </c>
    </row>
    <row r="439" customFormat="false" ht="14.25" hidden="false" customHeight="false" outlineLevel="0" collapsed="false">
      <c r="A439" s="18" t="str">
        <f aca="false">IFERROR(MID(D439,1,FIND("|",D439)-1)&amp;"-"&amp;C439,"")</f>
        <v/>
      </c>
    </row>
    <row r="440" customFormat="false" ht="14.25" hidden="false" customHeight="false" outlineLevel="0" collapsed="false">
      <c r="A440" s="18" t="str">
        <f aca="false">IFERROR(MID(D440,1,FIND("|",D440)-1)&amp;"-"&amp;C440,"")</f>
        <v/>
      </c>
    </row>
    <row r="441" customFormat="false" ht="14.25" hidden="false" customHeight="false" outlineLevel="0" collapsed="false">
      <c r="A441" s="18" t="str">
        <f aca="false">IFERROR(MID(D441,1,FIND("|",D441)-1)&amp;"-"&amp;C441,"")</f>
        <v/>
      </c>
    </row>
    <row r="442" customFormat="false" ht="14.25" hidden="false" customHeight="false" outlineLevel="0" collapsed="false">
      <c r="A442" s="18" t="str">
        <f aca="false">IFERROR(MID(D442,1,FIND("|",D442)-1)&amp;"-"&amp;C442,"")</f>
        <v/>
      </c>
    </row>
    <row r="443" customFormat="false" ht="14.25" hidden="false" customHeight="false" outlineLevel="0" collapsed="false">
      <c r="A443" s="18" t="str">
        <f aca="false">IFERROR(MID(D443,1,FIND("|",D443)-1)&amp;"-"&amp;C443,"")</f>
        <v/>
      </c>
    </row>
    <row r="444" customFormat="false" ht="14.25" hidden="false" customHeight="false" outlineLevel="0" collapsed="false">
      <c r="A444" s="18" t="str">
        <f aca="false">IFERROR(MID(D444,1,FIND("|",D444)-1)&amp;"-"&amp;C444,"")</f>
        <v/>
      </c>
    </row>
    <row r="445" customFormat="false" ht="14.25" hidden="false" customHeight="false" outlineLevel="0" collapsed="false">
      <c r="A445" s="18" t="str">
        <f aca="false">IFERROR(MID(D445,1,FIND("|",D445)-1)&amp;"-"&amp;C445,"")</f>
        <v/>
      </c>
    </row>
    <row r="446" customFormat="false" ht="14.25" hidden="false" customHeight="false" outlineLevel="0" collapsed="false">
      <c r="A446" s="18" t="str">
        <f aca="false">IFERROR(MID(D446,1,FIND("|",D446)-1)&amp;"-"&amp;C446,"")</f>
        <v/>
      </c>
    </row>
    <row r="447" customFormat="false" ht="14.25" hidden="false" customHeight="false" outlineLevel="0" collapsed="false">
      <c r="A447" s="18" t="str">
        <f aca="false">IFERROR(MID(D447,1,FIND("|",D447)-1)&amp;"-"&amp;C447,"")</f>
        <v/>
      </c>
    </row>
    <row r="448" customFormat="false" ht="14.25" hidden="false" customHeight="false" outlineLevel="0" collapsed="false">
      <c r="A448" s="18" t="str">
        <f aca="false">IFERROR(MID(D448,1,FIND("|",D448)-1)&amp;"-"&amp;C448,"")</f>
        <v/>
      </c>
    </row>
    <row r="449" customFormat="false" ht="14.25" hidden="false" customHeight="false" outlineLevel="0" collapsed="false">
      <c r="A449" s="18" t="str">
        <f aca="false">IFERROR(MID(D449,1,FIND("|",D449)-1)&amp;"-"&amp;C449,"")</f>
        <v/>
      </c>
    </row>
    <row r="450" customFormat="false" ht="14.25" hidden="false" customHeight="false" outlineLevel="0" collapsed="false">
      <c r="A450" s="18" t="str">
        <f aca="false">IFERROR(MID(D450,1,FIND("|",D450)-1)&amp;"-"&amp;C450,"")</f>
        <v/>
      </c>
    </row>
    <row r="451" customFormat="false" ht="14.25" hidden="false" customHeight="false" outlineLevel="0" collapsed="false">
      <c r="A451" s="18" t="str">
        <f aca="false">IFERROR(MID(D451,1,FIND("|",D451)-1)&amp;"-"&amp;C451,"")</f>
        <v/>
      </c>
    </row>
    <row r="452" customFormat="false" ht="14.25" hidden="false" customHeight="false" outlineLevel="0" collapsed="false">
      <c r="A452" s="18" t="str">
        <f aca="false">IFERROR(MID(D452,1,FIND("|",D452)-1)&amp;"-"&amp;C452,"")</f>
        <v/>
      </c>
    </row>
    <row r="453" customFormat="false" ht="14.25" hidden="false" customHeight="false" outlineLevel="0" collapsed="false">
      <c r="A453" s="18" t="str">
        <f aca="false">IFERROR(MID(D453,1,FIND("|",D453)-1)&amp;"-"&amp;C453,"")</f>
        <v/>
      </c>
    </row>
    <row r="454" customFormat="false" ht="14.25" hidden="false" customHeight="false" outlineLevel="0" collapsed="false">
      <c r="A454" s="18" t="str">
        <f aca="false">IFERROR(MID(D454,1,FIND("|",D454)-1)&amp;"-"&amp;C454,"")</f>
        <v/>
      </c>
    </row>
    <row r="455" customFormat="false" ht="14.25" hidden="false" customHeight="false" outlineLevel="0" collapsed="false">
      <c r="A455" s="18" t="str">
        <f aca="false">IFERROR(MID(D455,1,FIND("|",D455)-1)&amp;"-"&amp;C455,"")</f>
        <v/>
      </c>
    </row>
    <row r="456" customFormat="false" ht="14.25" hidden="false" customHeight="false" outlineLevel="0" collapsed="false">
      <c r="A456" s="18" t="str">
        <f aca="false">IFERROR(MID(D456,1,FIND("|",D456)-1)&amp;"-"&amp;C456,"")</f>
        <v/>
      </c>
    </row>
    <row r="457" customFormat="false" ht="14.25" hidden="false" customHeight="false" outlineLevel="0" collapsed="false">
      <c r="A457" s="18" t="str">
        <f aca="false">IFERROR(MID(D457,1,FIND("|",D457)-1)&amp;"-"&amp;C457,"")</f>
        <v/>
      </c>
    </row>
    <row r="458" customFormat="false" ht="14.25" hidden="false" customHeight="false" outlineLevel="0" collapsed="false">
      <c r="A458" s="18" t="str">
        <f aca="false">IFERROR(MID(D458,1,FIND("|",D458)-1)&amp;"-"&amp;C458,"")</f>
        <v/>
      </c>
    </row>
    <row r="459" customFormat="false" ht="14.25" hidden="false" customHeight="false" outlineLevel="0" collapsed="false">
      <c r="A459" s="18" t="str">
        <f aca="false">IFERROR(MID(D459,1,FIND("|",D459)-1)&amp;"-"&amp;C459,"")</f>
        <v/>
      </c>
    </row>
    <row r="460" customFormat="false" ht="14.25" hidden="false" customHeight="false" outlineLevel="0" collapsed="false">
      <c r="A460" s="18" t="str">
        <f aca="false">IFERROR(MID(D460,1,FIND("|",D460)-1)&amp;"-"&amp;C460,"")</f>
        <v/>
      </c>
    </row>
    <row r="461" customFormat="false" ht="14.25" hidden="false" customHeight="false" outlineLevel="0" collapsed="false">
      <c r="A461" s="18" t="str">
        <f aca="false">IFERROR(MID(D461,1,FIND("|",D461)-1)&amp;"-"&amp;C461,"")</f>
        <v/>
      </c>
    </row>
    <row r="462" customFormat="false" ht="14.25" hidden="false" customHeight="false" outlineLevel="0" collapsed="false">
      <c r="A462" s="18" t="str">
        <f aca="false">IFERROR(MID(D462,1,FIND("|",D462)-1)&amp;"-"&amp;C462,"")</f>
        <v/>
      </c>
    </row>
    <row r="463" customFormat="false" ht="14.25" hidden="false" customHeight="false" outlineLevel="0" collapsed="false">
      <c r="A463" s="18" t="str">
        <f aca="false">IFERROR(MID(D463,1,FIND("|",D463)-1)&amp;"-"&amp;C463,"")</f>
        <v/>
      </c>
    </row>
    <row r="464" customFormat="false" ht="14.25" hidden="false" customHeight="false" outlineLevel="0" collapsed="false">
      <c r="A464" s="18" t="str">
        <f aca="false">IFERROR(MID(D464,1,FIND("|",D464)-1)&amp;"-"&amp;C464,"")</f>
        <v/>
      </c>
    </row>
    <row r="465" customFormat="false" ht="14.25" hidden="false" customHeight="false" outlineLevel="0" collapsed="false">
      <c r="A465" s="18" t="str">
        <f aca="false">IFERROR(MID(D465,1,FIND("|",D465)-1)&amp;"-"&amp;C465,"")</f>
        <v/>
      </c>
    </row>
    <row r="466" customFormat="false" ht="14.25" hidden="false" customHeight="false" outlineLevel="0" collapsed="false">
      <c r="A466" s="18" t="str">
        <f aca="false">IFERROR(MID(D466,1,FIND("|",D466)-1)&amp;"-"&amp;C466,"")</f>
        <v/>
      </c>
    </row>
    <row r="467" customFormat="false" ht="14.25" hidden="false" customHeight="false" outlineLevel="0" collapsed="false">
      <c r="A467" s="18" t="str">
        <f aca="false">IFERROR(MID(D467,1,FIND("|",D467)-1)&amp;"-"&amp;C467,"")</f>
        <v/>
      </c>
    </row>
    <row r="468" customFormat="false" ht="14.25" hidden="false" customHeight="false" outlineLevel="0" collapsed="false">
      <c r="A468" s="18" t="str">
        <f aca="false">IFERROR(MID(D468,1,FIND("|",D468)-1)&amp;"-"&amp;C468,"")</f>
        <v/>
      </c>
    </row>
    <row r="469" customFormat="false" ht="14.25" hidden="false" customHeight="false" outlineLevel="0" collapsed="false">
      <c r="A469" s="18" t="str">
        <f aca="false">IFERROR(MID(D469,1,FIND("|",D469)-1)&amp;"-"&amp;C469,"")</f>
        <v/>
      </c>
    </row>
    <row r="470" customFormat="false" ht="14.25" hidden="false" customHeight="false" outlineLevel="0" collapsed="false">
      <c r="A470" s="18" t="str">
        <f aca="false">IFERROR(MID(D470,1,FIND("|",D470)-1)&amp;"-"&amp;C470,"")</f>
        <v/>
      </c>
    </row>
    <row r="471" customFormat="false" ht="14.25" hidden="false" customHeight="false" outlineLevel="0" collapsed="false">
      <c r="A471" s="18" t="str">
        <f aca="false">IFERROR(MID(D471,1,FIND("|",D471)-1)&amp;"-"&amp;C471,"")</f>
        <v/>
      </c>
    </row>
    <row r="472" customFormat="false" ht="14.25" hidden="false" customHeight="false" outlineLevel="0" collapsed="false">
      <c r="A472" s="18" t="str">
        <f aca="false">IFERROR(MID(D472,1,FIND("|",D472)-1)&amp;"-"&amp;C472,"")</f>
        <v/>
      </c>
    </row>
    <row r="473" customFormat="false" ht="14.25" hidden="false" customHeight="false" outlineLevel="0" collapsed="false">
      <c r="A473" s="18" t="str">
        <f aca="false">IFERROR(MID(D473,1,FIND("|",D473)-1)&amp;"-"&amp;C473,"")</f>
        <v/>
      </c>
    </row>
    <row r="474" customFormat="false" ht="14.25" hidden="false" customHeight="false" outlineLevel="0" collapsed="false">
      <c r="A474" s="18" t="str">
        <f aca="false">IFERROR(MID(D474,1,FIND("|",D474)-1)&amp;"-"&amp;C474,"")</f>
        <v/>
      </c>
    </row>
    <row r="475" customFormat="false" ht="14.25" hidden="false" customHeight="false" outlineLevel="0" collapsed="false">
      <c r="A475" s="18" t="str">
        <f aca="false">IFERROR(MID(D475,1,FIND("|",D475)-1)&amp;"-"&amp;C475,"")</f>
        <v/>
      </c>
    </row>
    <row r="476" customFormat="false" ht="14.25" hidden="false" customHeight="false" outlineLevel="0" collapsed="false">
      <c r="A476" s="18" t="str">
        <f aca="false">IFERROR(MID(D476,1,FIND("|",D476)-1)&amp;"-"&amp;C476,"")</f>
        <v/>
      </c>
    </row>
    <row r="477" customFormat="false" ht="14.25" hidden="false" customHeight="false" outlineLevel="0" collapsed="false">
      <c r="A477" s="18" t="str">
        <f aca="false">IFERROR(MID(D477,1,FIND("|",D477)-1)&amp;"-"&amp;C477,"")</f>
        <v/>
      </c>
    </row>
    <row r="478" customFormat="false" ht="14.25" hidden="false" customHeight="false" outlineLevel="0" collapsed="false">
      <c r="A478" s="18" t="str">
        <f aca="false">IFERROR(MID(D478,1,FIND("|",D478)-1)&amp;"-"&amp;C478,"")</f>
        <v/>
      </c>
    </row>
    <row r="479" customFormat="false" ht="14.25" hidden="false" customHeight="false" outlineLevel="0" collapsed="false">
      <c r="A479" s="18" t="str">
        <f aca="false">IFERROR(MID(D479,1,FIND("|",D479)-1)&amp;"-"&amp;C479,"")</f>
        <v/>
      </c>
    </row>
    <row r="480" customFormat="false" ht="14.25" hidden="false" customHeight="false" outlineLevel="0" collapsed="false">
      <c r="A480" s="18" t="str">
        <f aca="false">IFERROR(MID(D480,1,FIND("|",D480)-1)&amp;"-"&amp;C480,"")</f>
        <v/>
      </c>
    </row>
    <row r="481" customFormat="false" ht="14.25" hidden="false" customHeight="false" outlineLevel="0" collapsed="false">
      <c r="A481" s="18" t="str">
        <f aca="false">IFERROR(MID(D481,1,FIND("|",D481)-1)&amp;"-"&amp;C481,"")</f>
        <v/>
      </c>
    </row>
    <row r="482" customFormat="false" ht="14.25" hidden="false" customHeight="false" outlineLevel="0" collapsed="false">
      <c r="A482" s="18" t="str">
        <f aca="false">IFERROR(MID(D482,1,FIND("|",D482)-1)&amp;"-"&amp;C482,"")</f>
        <v/>
      </c>
    </row>
    <row r="483" customFormat="false" ht="14.25" hidden="false" customHeight="false" outlineLevel="0" collapsed="false">
      <c r="A483" s="18" t="str">
        <f aca="false">IFERROR(MID(D483,1,FIND("|",D483)-1)&amp;"-"&amp;C483,"")</f>
        <v/>
      </c>
    </row>
    <row r="484" customFormat="false" ht="14.25" hidden="false" customHeight="false" outlineLevel="0" collapsed="false">
      <c r="A484" s="18" t="str">
        <f aca="false">IFERROR(MID(D484,1,FIND("|",D484)-1)&amp;"-"&amp;C484,"")</f>
        <v/>
      </c>
    </row>
    <row r="485" customFormat="false" ht="14.25" hidden="false" customHeight="false" outlineLevel="0" collapsed="false">
      <c r="A485" s="18" t="str">
        <f aca="false">IFERROR(MID(D485,1,FIND("|",D485)-1)&amp;"-"&amp;C485,"")</f>
        <v/>
      </c>
    </row>
    <row r="486" customFormat="false" ht="14.25" hidden="false" customHeight="false" outlineLevel="0" collapsed="false">
      <c r="A486" s="18" t="str">
        <f aca="false">IFERROR(MID(D486,1,FIND("|",D486)-1)&amp;"-"&amp;C486,"")</f>
        <v/>
      </c>
    </row>
    <row r="487" customFormat="false" ht="14.25" hidden="false" customHeight="false" outlineLevel="0" collapsed="false">
      <c r="A487" s="18" t="str">
        <f aca="false">IFERROR(MID(D487,1,FIND("|",D487)-1)&amp;"-"&amp;C487,"")</f>
        <v/>
      </c>
    </row>
    <row r="488" customFormat="false" ht="14.25" hidden="false" customHeight="false" outlineLevel="0" collapsed="false">
      <c r="A488" s="18" t="str">
        <f aca="false">IFERROR(MID(D488,1,FIND("|",D488)-1)&amp;"-"&amp;C488,"")</f>
        <v/>
      </c>
    </row>
    <row r="489" customFormat="false" ht="14.25" hidden="false" customHeight="false" outlineLevel="0" collapsed="false">
      <c r="A489" s="18" t="str">
        <f aca="false">IFERROR(MID(D489,1,FIND("|",D489)-1)&amp;"-"&amp;C489,"")</f>
        <v/>
      </c>
    </row>
    <row r="490" customFormat="false" ht="14.25" hidden="false" customHeight="false" outlineLevel="0" collapsed="false">
      <c r="A490" s="18" t="str">
        <f aca="false">IFERROR(MID(D490,1,FIND("|",D490)-1)&amp;"-"&amp;C490,"")</f>
        <v/>
      </c>
    </row>
    <row r="491" customFormat="false" ht="14.25" hidden="false" customHeight="false" outlineLevel="0" collapsed="false">
      <c r="A491" s="18" t="str">
        <f aca="false">IFERROR(MID(D491,1,FIND("|",D491)-1)&amp;"-"&amp;C491,"")</f>
        <v/>
      </c>
    </row>
    <row r="492" customFormat="false" ht="14.25" hidden="false" customHeight="false" outlineLevel="0" collapsed="false">
      <c r="A492" s="18" t="str">
        <f aca="false">IFERROR(MID(D492,1,FIND("|",D492)-1)&amp;"-"&amp;C492,"")</f>
        <v/>
      </c>
    </row>
    <row r="493" customFormat="false" ht="14.25" hidden="false" customHeight="false" outlineLevel="0" collapsed="false">
      <c r="A493" s="18" t="str">
        <f aca="false">IFERROR(MID(D493,1,FIND("|",D493)-1)&amp;"-"&amp;C493,"")</f>
        <v/>
      </c>
    </row>
    <row r="494" customFormat="false" ht="14.25" hidden="false" customHeight="false" outlineLevel="0" collapsed="false">
      <c r="A494" s="18" t="str">
        <f aca="false">IFERROR(MID(D494,1,FIND("|",D494)-1)&amp;"-"&amp;C494,"")</f>
        <v/>
      </c>
    </row>
    <row r="495" customFormat="false" ht="14.25" hidden="false" customHeight="false" outlineLevel="0" collapsed="false">
      <c r="A495" s="18" t="str">
        <f aca="false">IFERROR(MID(D495,1,FIND("|",D495)-1)&amp;"-"&amp;C495,"")</f>
        <v/>
      </c>
    </row>
    <row r="496" customFormat="false" ht="14.25" hidden="false" customHeight="false" outlineLevel="0" collapsed="false">
      <c r="A496" s="18" t="str">
        <f aca="false">IFERROR(MID(D496,1,FIND("|",D496)-1)&amp;"-"&amp;C496,"")</f>
        <v/>
      </c>
    </row>
    <row r="497" customFormat="false" ht="14.25" hidden="false" customHeight="false" outlineLevel="0" collapsed="false">
      <c r="A497" s="18" t="str">
        <f aca="false">IFERROR(MID(D497,1,FIND("|",D497)-1)&amp;"-"&amp;C497,"")</f>
        <v/>
      </c>
    </row>
    <row r="498" customFormat="false" ht="14.25" hidden="false" customHeight="false" outlineLevel="0" collapsed="false">
      <c r="A498" s="18" t="str">
        <f aca="false">IFERROR(MID(D498,1,FIND("|",D498)-1)&amp;"-"&amp;C498,"")</f>
        <v/>
      </c>
    </row>
    <row r="499" customFormat="false" ht="14.25" hidden="false" customHeight="false" outlineLevel="0" collapsed="false">
      <c r="A499" s="18" t="str">
        <f aca="false">IFERROR(MID(D499,1,FIND("|",D499)-1)&amp;"-"&amp;C499,"")</f>
        <v/>
      </c>
    </row>
    <row r="500" customFormat="false" ht="14.25" hidden="false" customHeight="false" outlineLevel="0" collapsed="false">
      <c r="A500" s="18" t="str">
        <f aca="false">IFERROR(MID(D500,1,FIND("|",D500)-1)&amp;"-"&amp;C500,"")</f>
        <v/>
      </c>
    </row>
    <row r="501" customFormat="false" ht="14.25" hidden="false" customHeight="false" outlineLevel="0" collapsed="false">
      <c r="A501" s="18" t="str">
        <f aca="false">IFERROR(MID(D501,1,FIND("|",D501)-1)&amp;"-"&amp;C501,"")</f>
        <v/>
      </c>
    </row>
    <row r="502" customFormat="false" ht="14.25" hidden="false" customHeight="false" outlineLevel="0" collapsed="false">
      <c r="A502" s="18" t="str">
        <f aca="false">IFERROR(MID(D502,1,FIND("|",D502)-1)&amp;"-"&amp;C502,"")</f>
        <v/>
      </c>
    </row>
    <row r="503" customFormat="false" ht="14.25" hidden="false" customHeight="false" outlineLevel="0" collapsed="false">
      <c r="A503" s="18" t="str">
        <f aca="false">IFERROR(MID(D503,1,FIND("|",D503)-1)&amp;"-"&amp;C503,"")</f>
        <v/>
      </c>
    </row>
    <row r="504" customFormat="false" ht="14.25" hidden="false" customHeight="false" outlineLevel="0" collapsed="false">
      <c r="A504" s="18" t="str">
        <f aca="false">IFERROR(MID(D504,1,FIND("|",D504)-1)&amp;"-"&amp;C504,"")</f>
        <v/>
      </c>
    </row>
    <row r="505" customFormat="false" ht="14.25" hidden="false" customHeight="false" outlineLevel="0" collapsed="false">
      <c r="A505" s="18" t="str">
        <f aca="false">IFERROR(MID(D505,1,FIND("|",D505)-1)&amp;"-"&amp;C505,"")</f>
        <v/>
      </c>
    </row>
    <row r="506" customFormat="false" ht="14.25" hidden="false" customHeight="false" outlineLevel="0" collapsed="false">
      <c r="A506" s="18" t="str">
        <f aca="false">IFERROR(MID(D506,1,FIND("|",D506)-1)&amp;"-"&amp;C506,"")</f>
        <v/>
      </c>
    </row>
    <row r="507" customFormat="false" ht="14.25" hidden="false" customHeight="false" outlineLevel="0" collapsed="false">
      <c r="A507" s="18" t="str">
        <f aca="false">IFERROR(MID(D507,1,FIND("|",D507)-1)&amp;"-"&amp;C507,"")</f>
        <v/>
      </c>
    </row>
    <row r="508" customFormat="false" ht="14.25" hidden="false" customHeight="false" outlineLevel="0" collapsed="false">
      <c r="A508" s="18" t="str">
        <f aca="false">IFERROR(MID(D508,1,FIND("|",D508)-1)&amp;"-"&amp;C508,"")</f>
        <v/>
      </c>
    </row>
    <row r="509" customFormat="false" ht="14.25" hidden="false" customHeight="false" outlineLevel="0" collapsed="false">
      <c r="A509" s="18" t="str">
        <f aca="false">IFERROR(MID(D509,1,FIND("|",D509)-1)&amp;"-"&amp;C509,"")</f>
        <v/>
      </c>
    </row>
    <row r="510" customFormat="false" ht="14.25" hidden="false" customHeight="false" outlineLevel="0" collapsed="false">
      <c r="A510" s="18" t="str">
        <f aca="false">IFERROR(MID(D510,1,FIND("|",D510)-1)&amp;"-"&amp;C510,"")</f>
        <v/>
      </c>
    </row>
    <row r="511" customFormat="false" ht="14.25" hidden="false" customHeight="false" outlineLevel="0" collapsed="false">
      <c r="A511" s="18" t="str">
        <f aca="false">IFERROR(MID(D511,1,FIND("|",D511)-1)&amp;"-"&amp;C511,"")</f>
        <v/>
      </c>
    </row>
    <row r="512" customFormat="false" ht="14.25" hidden="false" customHeight="false" outlineLevel="0" collapsed="false">
      <c r="A512" s="18" t="str">
        <f aca="false">IFERROR(MID(D512,1,FIND("|",D512)-1)&amp;"-"&amp;C512,"")</f>
        <v/>
      </c>
    </row>
    <row r="513" customFormat="false" ht="14.25" hidden="false" customHeight="false" outlineLevel="0" collapsed="false">
      <c r="A513" s="18" t="str">
        <f aca="false">IFERROR(MID(D513,1,FIND("|",D513)-1)&amp;"-"&amp;C513,"")</f>
        <v/>
      </c>
    </row>
    <row r="514" customFormat="false" ht="14.25" hidden="false" customHeight="false" outlineLevel="0" collapsed="false">
      <c r="A514" s="18" t="str">
        <f aca="false">IFERROR(MID(D514,1,FIND("|",D514)-1)&amp;"-"&amp;C514,"")</f>
        <v/>
      </c>
    </row>
    <row r="515" customFormat="false" ht="14.25" hidden="false" customHeight="false" outlineLevel="0" collapsed="false">
      <c r="A515" s="18" t="str">
        <f aca="false">IFERROR(MID(D515,1,FIND("|",D515)-1)&amp;"-"&amp;C515,"")</f>
        <v/>
      </c>
    </row>
    <row r="516" customFormat="false" ht="14.25" hidden="false" customHeight="false" outlineLevel="0" collapsed="false">
      <c r="A516" s="18" t="str">
        <f aca="false">IFERROR(MID(D516,1,FIND("|",D516)-1)&amp;"-"&amp;C516,"")</f>
        <v/>
      </c>
    </row>
    <row r="517" customFormat="false" ht="14.25" hidden="false" customHeight="false" outlineLevel="0" collapsed="false">
      <c r="A517" s="18" t="str">
        <f aca="false">IFERROR(MID(D517,1,FIND("|",D517)-1)&amp;"-"&amp;C517,"")</f>
        <v/>
      </c>
    </row>
    <row r="518" customFormat="false" ht="14.25" hidden="false" customHeight="false" outlineLevel="0" collapsed="false">
      <c r="A518" s="18" t="str">
        <f aca="false">IFERROR(MID(D518,1,FIND("|",D518)-1)&amp;"-"&amp;C518,"")</f>
        <v/>
      </c>
    </row>
    <row r="519" customFormat="false" ht="14.25" hidden="false" customHeight="false" outlineLevel="0" collapsed="false">
      <c r="A519" s="18" t="str">
        <f aca="false">IFERROR(MID(D519,1,FIND("|",D519)-1)&amp;"-"&amp;C519,"")</f>
        <v/>
      </c>
    </row>
    <row r="520" customFormat="false" ht="14.25" hidden="false" customHeight="false" outlineLevel="0" collapsed="false">
      <c r="A520" s="18" t="str">
        <f aca="false">IFERROR(MID(D520,1,FIND("|",D520)-1)&amp;"-"&amp;C520,"")</f>
        <v/>
      </c>
    </row>
    <row r="521" customFormat="false" ht="14.25" hidden="false" customHeight="false" outlineLevel="0" collapsed="false">
      <c r="A521" s="18" t="str">
        <f aca="false">IFERROR(MID(D521,1,FIND("|",D521)-1)&amp;"-"&amp;C521,"")</f>
        <v/>
      </c>
    </row>
    <row r="522" customFormat="false" ht="14.25" hidden="false" customHeight="false" outlineLevel="0" collapsed="false">
      <c r="A522" s="18" t="str">
        <f aca="false">IFERROR(MID(D522,1,FIND("|",D522)-1)&amp;"-"&amp;C522,"")</f>
        <v/>
      </c>
    </row>
    <row r="523" customFormat="false" ht="14.25" hidden="false" customHeight="false" outlineLevel="0" collapsed="false">
      <c r="A523" s="18" t="str">
        <f aca="false">IFERROR(MID(D523,1,FIND("|",D523)-1)&amp;"-"&amp;C523,"")</f>
        <v/>
      </c>
    </row>
    <row r="524" customFormat="false" ht="14.25" hidden="false" customHeight="false" outlineLevel="0" collapsed="false">
      <c r="A524" s="18" t="str">
        <f aca="false">IFERROR(MID(D524,1,FIND("|",D524)-1)&amp;"-"&amp;C524,"")</f>
        <v/>
      </c>
    </row>
    <row r="525" customFormat="false" ht="14.25" hidden="false" customHeight="false" outlineLevel="0" collapsed="false">
      <c r="A525" s="18" t="str">
        <f aca="false">IFERROR(MID(D525,1,FIND("|",D525)-1)&amp;"-"&amp;C525,"")</f>
        <v/>
      </c>
    </row>
    <row r="526" customFormat="false" ht="14.25" hidden="false" customHeight="false" outlineLevel="0" collapsed="false">
      <c r="A526" s="18" t="str">
        <f aca="false">IFERROR(MID(D526,1,FIND("|",D526)-1)&amp;"-"&amp;C526,"")</f>
        <v/>
      </c>
    </row>
    <row r="527" customFormat="false" ht="14.25" hidden="false" customHeight="false" outlineLevel="0" collapsed="false">
      <c r="A527" s="18" t="str">
        <f aca="false">IFERROR(MID(D527,1,FIND("|",D527)-1)&amp;"-"&amp;C527,"")</f>
        <v/>
      </c>
    </row>
    <row r="528" customFormat="false" ht="14.25" hidden="false" customHeight="false" outlineLevel="0" collapsed="false">
      <c r="A528" s="18" t="str">
        <f aca="false">IFERROR(MID(D528,1,FIND("|",D528)-1)&amp;"-"&amp;C528,"")</f>
        <v/>
      </c>
    </row>
    <row r="529" customFormat="false" ht="14.25" hidden="false" customHeight="false" outlineLevel="0" collapsed="false">
      <c r="A529" s="18" t="str">
        <f aca="false">IFERROR(MID(D529,1,FIND("|",D529)-1)&amp;"-"&amp;C529,"")</f>
        <v/>
      </c>
    </row>
    <row r="530" customFormat="false" ht="14.25" hidden="false" customHeight="false" outlineLevel="0" collapsed="false">
      <c r="A530" s="18" t="str">
        <f aca="false">IFERROR(MID(D530,1,FIND("|",D530)-1)&amp;"-"&amp;C530,"")</f>
        <v/>
      </c>
    </row>
    <row r="531" customFormat="false" ht="14.25" hidden="false" customHeight="false" outlineLevel="0" collapsed="false">
      <c r="A531" s="18" t="str">
        <f aca="false">IFERROR(MID(D531,1,FIND("|",D531)-1)&amp;"-"&amp;C531,"")</f>
        <v/>
      </c>
    </row>
    <row r="532" customFormat="false" ht="14.25" hidden="false" customHeight="false" outlineLevel="0" collapsed="false">
      <c r="A532" s="18" t="str">
        <f aca="false">IFERROR(MID(D532,1,FIND("|",D532)-1)&amp;"-"&amp;C532,"")</f>
        <v/>
      </c>
    </row>
    <row r="533" customFormat="false" ht="14.25" hidden="false" customHeight="false" outlineLevel="0" collapsed="false">
      <c r="A533" s="18" t="str">
        <f aca="false">IFERROR(MID(D533,1,FIND("|",D533)-1)&amp;"-"&amp;C533,"")</f>
        <v/>
      </c>
    </row>
    <row r="534" customFormat="false" ht="14.25" hidden="false" customHeight="false" outlineLevel="0" collapsed="false">
      <c r="A534" s="18" t="str">
        <f aca="false">IFERROR(MID(D534,1,FIND("|",D534)-1)&amp;"-"&amp;C534,"")</f>
        <v/>
      </c>
    </row>
    <row r="535" customFormat="false" ht="14.25" hidden="false" customHeight="false" outlineLevel="0" collapsed="false">
      <c r="A535" s="18" t="str">
        <f aca="false">IFERROR(MID(D535,1,FIND("|",D535)-1)&amp;"-"&amp;C535,"")</f>
        <v/>
      </c>
    </row>
    <row r="536" customFormat="false" ht="14.25" hidden="false" customHeight="false" outlineLevel="0" collapsed="false">
      <c r="A536" s="18" t="str">
        <f aca="false">IFERROR(MID(D536,1,FIND("|",D536)-1)&amp;"-"&amp;C536,"")</f>
        <v/>
      </c>
    </row>
    <row r="537" customFormat="false" ht="14.25" hidden="false" customHeight="false" outlineLevel="0" collapsed="false">
      <c r="A537" s="18" t="str">
        <f aca="false">IFERROR(MID(D537,1,FIND("|",D537)-1)&amp;"-"&amp;C537,"")</f>
        <v/>
      </c>
    </row>
    <row r="538" customFormat="false" ht="14.25" hidden="false" customHeight="false" outlineLevel="0" collapsed="false">
      <c r="A538" s="18" t="str">
        <f aca="false">IFERROR(MID(D538,1,FIND("|",D538)-1)&amp;"-"&amp;C538,"")</f>
        <v/>
      </c>
    </row>
    <row r="539" customFormat="false" ht="14.25" hidden="false" customHeight="false" outlineLevel="0" collapsed="false">
      <c r="A539" s="18" t="str">
        <f aca="false">IFERROR(MID(D539,1,FIND("|",D539)-1)&amp;"-"&amp;C539,"")</f>
        <v/>
      </c>
    </row>
    <row r="540" customFormat="false" ht="14.25" hidden="false" customHeight="false" outlineLevel="0" collapsed="false">
      <c r="A540" s="18" t="str">
        <f aca="false">IFERROR(MID(D540,1,FIND("|",D540)-1)&amp;"-"&amp;C540,"")</f>
        <v/>
      </c>
    </row>
    <row r="541" customFormat="false" ht="14.25" hidden="false" customHeight="false" outlineLevel="0" collapsed="false">
      <c r="A541" s="18" t="str">
        <f aca="false">IFERROR(MID(D541,1,FIND("|",D541)-1)&amp;"-"&amp;C541,"")</f>
        <v/>
      </c>
    </row>
    <row r="542" customFormat="false" ht="14.25" hidden="false" customHeight="false" outlineLevel="0" collapsed="false">
      <c r="A542" s="18" t="str">
        <f aca="false">IFERROR(MID(D542,1,FIND("|",D542)-1)&amp;"-"&amp;C542,"")</f>
        <v/>
      </c>
    </row>
    <row r="543" customFormat="false" ht="14.25" hidden="false" customHeight="false" outlineLevel="0" collapsed="false">
      <c r="A543" s="18" t="str">
        <f aca="false">IFERROR(MID(D543,1,FIND("|",D543)-1)&amp;"-"&amp;C543,"")</f>
        <v/>
      </c>
    </row>
    <row r="544" customFormat="false" ht="14.25" hidden="false" customHeight="false" outlineLevel="0" collapsed="false">
      <c r="A544" s="18" t="str">
        <f aca="false">IFERROR(MID(D544,1,FIND("|",D544)-1)&amp;"-"&amp;C544,"")</f>
        <v/>
      </c>
    </row>
    <row r="545" customFormat="false" ht="14.25" hidden="false" customHeight="false" outlineLevel="0" collapsed="false">
      <c r="A545" s="18" t="str">
        <f aca="false">IFERROR(MID(D545,1,FIND("|",D545)-1)&amp;"-"&amp;C545,"")</f>
        <v/>
      </c>
    </row>
    <row r="546" customFormat="false" ht="14.25" hidden="false" customHeight="false" outlineLevel="0" collapsed="false">
      <c r="A546" s="18" t="str">
        <f aca="false">IFERROR(MID(D546,1,FIND("|",D546)-1)&amp;"-"&amp;C546,"")</f>
        <v/>
      </c>
    </row>
    <row r="547" customFormat="false" ht="14.25" hidden="false" customHeight="false" outlineLevel="0" collapsed="false">
      <c r="A547" s="18" t="str">
        <f aca="false">IFERROR(MID(D547,1,FIND("|",D547)-1)&amp;"-"&amp;C547,"")</f>
        <v/>
      </c>
    </row>
    <row r="548" customFormat="false" ht="14.25" hidden="false" customHeight="false" outlineLevel="0" collapsed="false">
      <c r="A548" s="18" t="str">
        <f aca="false">IFERROR(MID(D548,1,FIND("|",D548)-1)&amp;"-"&amp;C548,"")</f>
        <v/>
      </c>
    </row>
    <row r="549" customFormat="false" ht="14.25" hidden="false" customHeight="false" outlineLevel="0" collapsed="false">
      <c r="A549" s="18" t="str">
        <f aca="false">IFERROR(MID(D549,1,FIND("|",D549)-1)&amp;"-"&amp;C549,"")</f>
        <v/>
      </c>
    </row>
    <row r="550" customFormat="false" ht="14.25" hidden="false" customHeight="false" outlineLevel="0" collapsed="false">
      <c r="A550" s="18" t="str">
        <f aca="false">IFERROR(MID(D550,1,FIND("|",D550)-1)&amp;"-"&amp;C550,"")</f>
        <v/>
      </c>
    </row>
    <row r="551" customFormat="false" ht="14.25" hidden="false" customHeight="false" outlineLevel="0" collapsed="false">
      <c r="A551" s="18" t="str">
        <f aca="false">IFERROR(MID(D551,1,FIND("|",D551)-1)&amp;"-"&amp;C551,"")</f>
        <v/>
      </c>
    </row>
    <row r="552" customFormat="false" ht="14.25" hidden="false" customHeight="false" outlineLevel="0" collapsed="false">
      <c r="A552" s="18" t="str">
        <f aca="false">IFERROR(MID(D552,1,FIND("|",D552)-1)&amp;"-"&amp;C552,"")</f>
        <v/>
      </c>
    </row>
    <row r="553" customFormat="false" ht="14.25" hidden="false" customHeight="false" outlineLevel="0" collapsed="false">
      <c r="A553" s="18" t="str">
        <f aca="false">IFERROR(MID(D553,1,FIND("|",D553)-1)&amp;"-"&amp;C553,"")</f>
        <v/>
      </c>
    </row>
    <row r="554" customFormat="false" ht="14.25" hidden="false" customHeight="false" outlineLevel="0" collapsed="false">
      <c r="A554" s="18" t="str">
        <f aca="false">IFERROR(MID(D554,1,FIND("|",D554)-1)&amp;"-"&amp;C554,"")</f>
        <v/>
      </c>
    </row>
    <row r="555" customFormat="false" ht="14.25" hidden="false" customHeight="false" outlineLevel="0" collapsed="false">
      <c r="A555" s="18" t="str">
        <f aca="false">IFERROR(MID(D555,1,FIND("|",D555)-1)&amp;"-"&amp;C555,"")</f>
        <v/>
      </c>
    </row>
    <row r="556" customFormat="false" ht="14.25" hidden="false" customHeight="false" outlineLevel="0" collapsed="false">
      <c r="A556" s="18" t="str">
        <f aca="false">IFERROR(MID(D556,1,FIND("|",D556)-1)&amp;"-"&amp;C556,"")</f>
        <v/>
      </c>
    </row>
    <row r="557" customFormat="false" ht="14.25" hidden="false" customHeight="false" outlineLevel="0" collapsed="false">
      <c r="A557" s="18" t="str">
        <f aca="false">IFERROR(MID(D557,1,FIND("|",D557)-1)&amp;"-"&amp;C557,"")</f>
        <v/>
      </c>
    </row>
    <row r="558" customFormat="false" ht="14.25" hidden="false" customHeight="false" outlineLevel="0" collapsed="false">
      <c r="A558" s="18" t="str">
        <f aca="false">IFERROR(MID(D558,1,FIND("|",D558)-1)&amp;"-"&amp;C558,"")</f>
        <v/>
      </c>
    </row>
    <row r="559" customFormat="false" ht="14.25" hidden="false" customHeight="false" outlineLevel="0" collapsed="false">
      <c r="A559" s="18" t="str">
        <f aca="false">IFERROR(MID(D559,1,FIND("|",D559)-1)&amp;"-"&amp;C559,"")</f>
        <v/>
      </c>
    </row>
    <row r="560" customFormat="false" ht="14.25" hidden="false" customHeight="false" outlineLevel="0" collapsed="false">
      <c r="A560" s="18" t="str">
        <f aca="false">IFERROR(MID(D560,1,FIND("|",D560)-1)&amp;"-"&amp;C560,"")</f>
        <v/>
      </c>
    </row>
    <row r="561" customFormat="false" ht="14.25" hidden="false" customHeight="false" outlineLevel="0" collapsed="false">
      <c r="A561" s="18" t="str">
        <f aca="false">IFERROR(MID(D561,1,FIND("|",D561)-1)&amp;"-"&amp;C561,"")</f>
        <v/>
      </c>
    </row>
    <row r="562" customFormat="false" ht="14.25" hidden="false" customHeight="false" outlineLevel="0" collapsed="false">
      <c r="A562" s="18" t="str">
        <f aca="false">IFERROR(MID(D562,1,FIND("|",D562)-1)&amp;"-"&amp;C562,"")</f>
        <v/>
      </c>
    </row>
    <row r="563" customFormat="false" ht="14.25" hidden="false" customHeight="false" outlineLevel="0" collapsed="false">
      <c r="A563" s="18" t="str">
        <f aca="false">IFERROR(MID(D563,1,FIND("|",D563)-1)&amp;"-"&amp;C563,"")</f>
        <v/>
      </c>
    </row>
    <row r="564" customFormat="false" ht="14.25" hidden="false" customHeight="false" outlineLevel="0" collapsed="false">
      <c r="A564" s="18" t="str">
        <f aca="false">IFERROR(MID(D564,1,FIND("|",D564)-1)&amp;"-"&amp;C564,"")</f>
        <v/>
      </c>
    </row>
    <row r="565" customFormat="false" ht="14.25" hidden="false" customHeight="false" outlineLevel="0" collapsed="false">
      <c r="A565" s="18" t="str">
        <f aca="false">IFERROR(MID(D565,1,FIND("|",D565)-1)&amp;"-"&amp;C565,"")</f>
        <v/>
      </c>
    </row>
    <row r="566" customFormat="false" ht="14.25" hidden="false" customHeight="false" outlineLevel="0" collapsed="false">
      <c r="A566" s="18" t="str">
        <f aca="false">IFERROR(MID(D566,1,FIND("|",D566)-1)&amp;"-"&amp;C566,"")</f>
        <v/>
      </c>
    </row>
    <row r="567" customFormat="false" ht="14.25" hidden="false" customHeight="false" outlineLevel="0" collapsed="false">
      <c r="A567" s="18" t="str">
        <f aca="false">IFERROR(MID(D567,1,FIND("|",D567)-1)&amp;"-"&amp;C567,"")</f>
        <v/>
      </c>
    </row>
    <row r="568" customFormat="false" ht="14.25" hidden="false" customHeight="false" outlineLevel="0" collapsed="false">
      <c r="A568" s="18" t="str">
        <f aca="false">IFERROR(MID(D568,1,FIND("|",D568)-1)&amp;"-"&amp;C568,"")</f>
        <v/>
      </c>
    </row>
    <row r="569" customFormat="false" ht="14.25" hidden="false" customHeight="false" outlineLevel="0" collapsed="false">
      <c r="A569" s="18" t="str">
        <f aca="false">IFERROR(MID(D569,1,FIND("|",D569)-1)&amp;"-"&amp;C569,"")</f>
        <v/>
      </c>
    </row>
    <row r="570" customFormat="false" ht="14.25" hidden="false" customHeight="false" outlineLevel="0" collapsed="false">
      <c r="A570" s="18" t="str">
        <f aca="false">IFERROR(MID(D570,1,FIND("|",D570)-1)&amp;"-"&amp;C570,"")</f>
        <v/>
      </c>
    </row>
    <row r="571" customFormat="false" ht="14.25" hidden="false" customHeight="false" outlineLevel="0" collapsed="false">
      <c r="A571" s="18" t="str">
        <f aca="false">IFERROR(MID(D571,1,FIND("|",D571)-1)&amp;"-"&amp;C571,"")</f>
        <v/>
      </c>
    </row>
    <row r="572" customFormat="false" ht="14.25" hidden="false" customHeight="false" outlineLevel="0" collapsed="false">
      <c r="A572" s="18" t="str">
        <f aca="false">IFERROR(MID(D572,1,FIND("|",D572)-1)&amp;"-"&amp;C572,"")</f>
        <v/>
      </c>
    </row>
    <row r="573" customFormat="false" ht="14.25" hidden="false" customHeight="false" outlineLevel="0" collapsed="false">
      <c r="A573" s="18" t="str">
        <f aca="false">IFERROR(MID(D573,1,FIND("|",D573)-1)&amp;"-"&amp;C573,"")</f>
        <v/>
      </c>
    </row>
    <row r="574" customFormat="false" ht="14.25" hidden="false" customHeight="false" outlineLevel="0" collapsed="false">
      <c r="A574" s="18" t="str">
        <f aca="false">IFERROR(MID(D574,1,FIND("|",D574)-1)&amp;"-"&amp;C574,"")</f>
        <v/>
      </c>
    </row>
    <row r="575" customFormat="false" ht="14.25" hidden="false" customHeight="false" outlineLevel="0" collapsed="false">
      <c r="A575" s="18" t="str">
        <f aca="false">IFERROR(MID(D575,1,FIND("|",D575)-1)&amp;"-"&amp;C575,"")</f>
        <v/>
      </c>
    </row>
    <row r="576" customFormat="false" ht="14.25" hidden="false" customHeight="false" outlineLevel="0" collapsed="false">
      <c r="A576" s="18" t="str">
        <f aca="false">IFERROR(MID(D576,1,FIND("|",D576)-1)&amp;"-"&amp;C576,"")</f>
        <v/>
      </c>
    </row>
    <row r="577" customFormat="false" ht="14.25" hidden="false" customHeight="false" outlineLevel="0" collapsed="false">
      <c r="A577" s="18" t="str">
        <f aca="false">IFERROR(MID(D577,1,FIND("|",D577)-1)&amp;"-"&amp;C577,"")</f>
        <v/>
      </c>
    </row>
    <row r="578" customFormat="false" ht="14.25" hidden="false" customHeight="false" outlineLevel="0" collapsed="false">
      <c r="A578" s="18" t="str">
        <f aca="false">IFERROR(MID(D578,1,FIND("|",D578)-1)&amp;"-"&amp;C578,"")</f>
        <v/>
      </c>
    </row>
    <row r="579" customFormat="false" ht="14.25" hidden="false" customHeight="false" outlineLevel="0" collapsed="false">
      <c r="A579" s="18" t="str">
        <f aca="false">IFERROR(MID(D579,1,FIND("|",D579)-1)&amp;"-"&amp;C579,"")</f>
        <v/>
      </c>
    </row>
    <row r="580" customFormat="false" ht="14.25" hidden="false" customHeight="false" outlineLevel="0" collapsed="false">
      <c r="A580" s="18" t="str">
        <f aca="false">IFERROR(MID(D580,1,FIND("|",D580)-1)&amp;"-"&amp;C580,"")</f>
        <v/>
      </c>
    </row>
    <row r="581" customFormat="false" ht="14.25" hidden="false" customHeight="false" outlineLevel="0" collapsed="false">
      <c r="A581" s="18" t="str">
        <f aca="false">IFERROR(MID(D581,1,FIND("|",D581)-1)&amp;"-"&amp;C581,"")</f>
        <v/>
      </c>
    </row>
    <row r="582" customFormat="false" ht="14.25" hidden="false" customHeight="false" outlineLevel="0" collapsed="false">
      <c r="A582" s="18" t="str">
        <f aca="false">IFERROR(MID(D582,1,FIND("|",D582)-1)&amp;"-"&amp;C582,"")</f>
        <v/>
      </c>
    </row>
    <row r="583" customFormat="false" ht="14.25" hidden="false" customHeight="false" outlineLevel="0" collapsed="false">
      <c r="A583" s="18" t="str">
        <f aca="false">IFERROR(MID(D583,1,FIND("|",D583)-1)&amp;"-"&amp;C583,"")</f>
        <v/>
      </c>
    </row>
    <row r="584" customFormat="false" ht="14.25" hidden="false" customHeight="false" outlineLevel="0" collapsed="false">
      <c r="A584" s="18" t="str">
        <f aca="false">IFERROR(MID(D584,1,FIND("|",D584)-1)&amp;"-"&amp;C584,"")</f>
        <v/>
      </c>
    </row>
    <row r="585" customFormat="false" ht="14.25" hidden="false" customHeight="false" outlineLevel="0" collapsed="false">
      <c r="A585" s="18" t="str">
        <f aca="false">IFERROR(MID(D585,1,FIND("|",D585)-1)&amp;"-"&amp;C585,"")</f>
        <v/>
      </c>
    </row>
    <row r="586" customFormat="false" ht="14.25" hidden="false" customHeight="false" outlineLevel="0" collapsed="false">
      <c r="A586" s="18" t="str">
        <f aca="false">IFERROR(MID(D586,1,FIND("|",D586)-1)&amp;"-"&amp;C586,"")</f>
        <v/>
      </c>
    </row>
    <row r="587" customFormat="false" ht="14.25" hidden="false" customHeight="false" outlineLevel="0" collapsed="false">
      <c r="A587" s="18" t="str">
        <f aca="false">IFERROR(MID(D587,1,FIND("|",D587)-1)&amp;"-"&amp;C587,"")</f>
        <v/>
      </c>
    </row>
    <row r="588" customFormat="false" ht="14.25" hidden="false" customHeight="false" outlineLevel="0" collapsed="false">
      <c r="A588" s="18" t="str">
        <f aca="false">IFERROR(MID(D588,1,FIND("|",D588)-1)&amp;"-"&amp;C588,"")</f>
        <v/>
      </c>
    </row>
    <row r="589" customFormat="false" ht="14.25" hidden="false" customHeight="false" outlineLevel="0" collapsed="false">
      <c r="A589" s="18" t="str">
        <f aca="false">IFERROR(MID(D589,1,FIND("|",D589)-1)&amp;"-"&amp;C589,"")</f>
        <v/>
      </c>
    </row>
    <row r="590" customFormat="false" ht="14.25" hidden="false" customHeight="false" outlineLevel="0" collapsed="false">
      <c r="A590" s="18" t="str">
        <f aca="false">IFERROR(MID(D590,1,FIND("|",D590)-1)&amp;"-"&amp;C590,"")</f>
        <v/>
      </c>
    </row>
    <row r="591" customFormat="false" ht="14.25" hidden="false" customHeight="false" outlineLevel="0" collapsed="false">
      <c r="A591" s="18" t="str">
        <f aca="false">IFERROR(MID(D591,1,FIND("|",D591)-1)&amp;"-"&amp;C591,"")</f>
        <v/>
      </c>
    </row>
    <row r="592" customFormat="false" ht="14.25" hidden="false" customHeight="false" outlineLevel="0" collapsed="false">
      <c r="A592" s="18" t="str">
        <f aca="false">IFERROR(MID(D592,1,FIND("|",D592)-1)&amp;"-"&amp;C592,"")</f>
        <v/>
      </c>
    </row>
    <row r="593" customFormat="false" ht="14.25" hidden="false" customHeight="false" outlineLevel="0" collapsed="false">
      <c r="A593" s="18" t="str">
        <f aca="false">IFERROR(MID(D593,1,FIND("|",D593)-1)&amp;"-"&amp;C593,"")</f>
        <v/>
      </c>
    </row>
    <row r="594" customFormat="false" ht="14.25" hidden="false" customHeight="false" outlineLevel="0" collapsed="false">
      <c r="A594" s="18" t="str">
        <f aca="false">IFERROR(MID(D594,1,FIND("|",D594)-1)&amp;"-"&amp;C594,"")</f>
        <v/>
      </c>
    </row>
    <row r="595" customFormat="false" ht="14.25" hidden="false" customHeight="false" outlineLevel="0" collapsed="false">
      <c r="A595" s="18" t="str">
        <f aca="false">IFERROR(MID(D595,1,FIND("|",D595)-1)&amp;"-"&amp;C595,"")</f>
        <v/>
      </c>
    </row>
    <row r="596" customFormat="false" ht="14.25" hidden="false" customHeight="false" outlineLevel="0" collapsed="false">
      <c r="A596" s="18" t="str">
        <f aca="false">IFERROR(MID(D596,1,FIND("|",D596)-1)&amp;"-"&amp;C596,"")</f>
        <v/>
      </c>
    </row>
    <row r="597" customFormat="false" ht="14.25" hidden="false" customHeight="false" outlineLevel="0" collapsed="false">
      <c r="A597" s="18" t="str">
        <f aca="false">IFERROR(MID(D597,1,FIND("|",D597)-1)&amp;"-"&amp;C597,"")</f>
        <v/>
      </c>
    </row>
    <row r="598" customFormat="false" ht="14.25" hidden="false" customHeight="false" outlineLevel="0" collapsed="false">
      <c r="A598" s="18" t="str">
        <f aca="false">IFERROR(MID(D598,1,FIND("|",D598)-1)&amp;"-"&amp;C598,"")</f>
        <v/>
      </c>
    </row>
    <row r="599" customFormat="false" ht="14.25" hidden="false" customHeight="false" outlineLevel="0" collapsed="false">
      <c r="A599" s="18" t="str">
        <f aca="false">IFERROR(MID(D599,1,FIND("|",D599)-1)&amp;"-"&amp;C599,"")</f>
        <v/>
      </c>
    </row>
    <row r="600" customFormat="false" ht="14.25" hidden="false" customHeight="false" outlineLevel="0" collapsed="false">
      <c r="A600" s="18" t="str">
        <f aca="false">IFERROR(MID(D600,1,FIND("|",D600)-1)&amp;"-"&amp;C600,"")</f>
        <v/>
      </c>
    </row>
    <row r="601" customFormat="false" ht="14.25" hidden="false" customHeight="false" outlineLevel="0" collapsed="false">
      <c r="A601" s="18" t="str">
        <f aca="false">IFERROR(MID(D601,1,FIND("|",D601)-1)&amp;"-"&amp;C601,"")</f>
        <v/>
      </c>
    </row>
    <row r="602" customFormat="false" ht="14.25" hidden="false" customHeight="false" outlineLevel="0" collapsed="false">
      <c r="A602" s="18" t="str">
        <f aca="false">IFERROR(MID(D602,1,FIND("|",D602)-1)&amp;"-"&amp;C602,"")</f>
        <v/>
      </c>
    </row>
    <row r="603" customFormat="false" ht="14.25" hidden="false" customHeight="false" outlineLevel="0" collapsed="false">
      <c r="A603" s="18" t="str">
        <f aca="false">IFERROR(MID(D603,1,FIND("|",D603)-1)&amp;"-"&amp;C603,"")</f>
        <v/>
      </c>
    </row>
    <row r="604" customFormat="false" ht="14.25" hidden="false" customHeight="false" outlineLevel="0" collapsed="false">
      <c r="A604" s="18" t="str">
        <f aca="false">IFERROR(MID(D604,1,FIND("|",D604)-1)&amp;"-"&amp;C604,"")</f>
        <v/>
      </c>
    </row>
    <row r="605" customFormat="false" ht="14.25" hidden="false" customHeight="false" outlineLevel="0" collapsed="false">
      <c r="A605" s="18" t="str">
        <f aca="false">IFERROR(MID(D605,1,FIND("|",D605)-1)&amp;"-"&amp;C605,"")</f>
        <v/>
      </c>
    </row>
    <row r="606" customFormat="false" ht="14.25" hidden="false" customHeight="false" outlineLevel="0" collapsed="false">
      <c r="A606" s="18" t="str">
        <f aca="false">IFERROR(MID(D606,1,FIND("|",D606)-1)&amp;"-"&amp;C606,"")</f>
        <v/>
      </c>
    </row>
    <row r="607" customFormat="false" ht="14.25" hidden="false" customHeight="false" outlineLevel="0" collapsed="false">
      <c r="A607" s="18" t="str">
        <f aca="false">IFERROR(MID(D607,1,FIND("|",D607)-1)&amp;"-"&amp;C607,"")</f>
        <v/>
      </c>
    </row>
    <row r="608" customFormat="false" ht="14.25" hidden="false" customHeight="false" outlineLevel="0" collapsed="false">
      <c r="A608" s="18" t="str">
        <f aca="false">IFERROR(MID(D608,1,FIND("|",D608)-1)&amp;"-"&amp;C608,"")</f>
        <v/>
      </c>
    </row>
    <row r="609" customFormat="false" ht="14.25" hidden="false" customHeight="false" outlineLevel="0" collapsed="false">
      <c r="A609" s="18" t="str">
        <f aca="false">IFERROR(MID(D609,1,FIND("|",D609)-1)&amp;"-"&amp;C609,"")</f>
        <v/>
      </c>
    </row>
    <row r="610" customFormat="false" ht="14.25" hidden="false" customHeight="false" outlineLevel="0" collapsed="false">
      <c r="A610" s="18" t="str">
        <f aca="false">IFERROR(MID(D610,1,FIND("|",D610)-1)&amp;"-"&amp;C610,"")</f>
        <v/>
      </c>
    </row>
    <row r="611" customFormat="false" ht="14.25" hidden="false" customHeight="false" outlineLevel="0" collapsed="false">
      <c r="A611" s="18" t="str">
        <f aca="false">IFERROR(MID(D611,1,FIND("|",D611)-1)&amp;"-"&amp;C611,"")</f>
        <v/>
      </c>
    </row>
    <row r="612" customFormat="false" ht="14.25" hidden="false" customHeight="false" outlineLevel="0" collapsed="false">
      <c r="A612" s="18" t="str">
        <f aca="false">IFERROR(MID(D612,1,FIND("|",D612)-1)&amp;"-"&amp;C612,"")</f>
        <v/>
      </c>
    </row>
    <row r="613" customFormat="false" ht="14.25" hidden="false" customHeight="false" outlineLevel="0" collapsed="false">
      <c r="A613" s="18" t="str">
        <f aca="false">IFERROR(MID(D613,1,FIND("|",D613)-1)&amp;"-"&amp;C613,"")</f>
        <v/>
      </c>
    </row>
    <row r="614" customFormat="false" ht="14.25" hidden="false" customHeight="false" outlineLevel="0" collapsed="false">
      <c r="A614" s="18" t="str">
        <f aca="false">IFERROR(MID(D614,1,FIND("|",D614)-1)&amp;"-"&amp;C614,"")</f>
        <v/>
      </c>
    </row>
    <row r="615" customFormat="false" ht="14.25" hidden="false" customHeight="false" outlineLevel="0" collapsed="false">
      <c r="A615" s="18" t="str">
        <f aca="false">IFERROR(MID(D615,1,FIND("|",D615)-1)&amp;"-"&amp;C615,"")</f>
        <v/>
      </c>
    </row>
    <row r="616" customFormat="false" ht="14.25" hidden="false" customHeight="false" outlineLevel="0" collapsed="false">
      <c r="A616" s="18" t="str">
        <f aca="false">IFERROR(MID(D616,1,FIND("|",D616)-1)&amp;"-"&amp;C616,"")</f>
        <v/>
      </c>
    </row>
    <row r="617" customFormat="false" ht="14.25" hidden="false" customHeight="false" outlineLevel="0" collapsed="false">
      <c r="A617" s="18" t="str">
        <f aca="false">IFERROR(MID(D617,1,FIND("|",D617)-1)&amp;"-"&amp;C617,"")</f>
        <v/>
      </c>
    </row>
    <row r="618" customFormat="false" ht="14.25" hidden="false" customHeight="false" outlineLevel="0" collapsed="false">
      <c r="A618" s="18" t="str">
        <f aca="false">IFERROR(MID(D618,1,FIND("|",D618)-1)&amp;"-"&amp;C618,"")</f>
        <v/>
      </c>
    </row>
    <row r="619" customFormat="false" ht="14.25" hidden="false" customHeight="false" outlineLevel="0" collapsed="false">
      <c r="A619" s="18" t="str">
        <f aca="false">IFERROR(MID(D619,1,FIND("|",D619)-1)&amp;"-"&amp;C619,"")</f>
        <v/>
      </c>
    </row>
    <row r="620" customFormat="false" ht="14.25" hidden="false" customHeight="false" outlineLevel="0" collapsed="false">
      <c r="A620" s="18" t="str">
        <f aca="false">IFERROR(MID(D620,1,FIND("|",D620)-1)&amp;"-"&amp;C620,"")</f>
        <v/>
      </c>
    </row>
    <row r="621" customFormat="false" ht="14.25" hidden="false" customHeight="false" outlineLevel="0" collapsed="false">
      <c r="A621" s="18" t="str">
        <f aca="false">IFERROR(MID(D621,1,FIND("|",D621)-1)&amp;"-"&amp;C621,"")</f>
        <v/>
      </c>
    </row>
    <row r="622" customFormat="false" ht="14.25" hidden="false" customHeight="false" outlineLevel="0" collapsed="false">
      <c r="A622" s="18" t="str">
        <f aca="false">IFERROR(MID(D622,1,FIND("|",D622)-1)&amp;"-"&amp;C622,"")</f>
        <v/>
      </c>
    </row>
    <row r="623" customFormat="false" ht="14.25" hidden="false" customHeight="false" outlineLevel="0" collapsed="false">
      <c r="A623" s="18" t="str">
        <f aca="false">IFERROR(MID(D623,1,FIND("|",D623)-1)&amp;"-"&amp;C623,"")</f>
        <v/>
      </c>
    </row>
    <row r="624" customFormat="false" ht="14.25" hidden="false" customHeight="false" outlineLevel="0" collapsed="false">
      <c r="A624" s="18" t="str">
        <f aca="false">IFERROR(MID(D624,1,FIND("|",D624)-1)&amp;"-"&amp;C624,"")</f>
        <v/>
      </c>
    </row>
    <row r="625" customFormat="false" ht="14.25" hidden="false" customHeight="false" outlineLevel="0" collapsed="false">
      <c r="A625" s="18" t="str">
        <f aca="false">IFERROR(MID(D625,1,FIND("|",D625)-1)&amp;"-"&amp;C625,"")</f>
        <v/>
      </c>
    </row>
    <row r="626" customFormat="false" ht="14.25" hidden="false" customHeight="false" outlineLevel="0" collapsed="false">
      <c r="A626" s="18" t="str">
        <f aca="false">IFERROR(MID(D626,1,FIND("|",D626)-1)&amp;"-"&amp;C626,"")</f>
        <v/>
      </c>
    </row>
    <row r="627" customFormat="false" ht="14.25" hidden="false" customHeight="false" outlineLevel="0" collapsed="false">
      <c r="A627" s="18" t="str">
        <f aca="false">IFERROR(MID(D627,1,FIND("|",D627)-1)&amp;"-"&amp;C627,"")</f>
        <v/>
      </c>
    </row>
    <row r="628" customFormat="false" ht="14.25" hidden="false" customHeight="false" outlineLevel="0" collapsed="false">
      <c r="A628" s="18" t="str">
        <f aca="false">IFERROR(MID(D628,1,FIND("|",D628)-1)&amp;"-"&amp;C628,"")</f>
        <v/>
      </c>
    </row>
    <row r="629" customFormat="false" ht="14.25" hidden="false" customHeight="false" outlineLevel="0" collapsed="false">
      <c r="A629" s="18" t="str">
        <f aca="false">IFERROR(MID(D629,1,FIND("|",D629)-1)&amp;"-"&amp;C629,"")</f>
        <v/>
      </c>
    </row>
    <row r="630" customFormat="false" ht="14.25" hidden="false" customHeight="false" outlineLevel="0" collapsed="false">
      <c r="A630" s="18" t="str">
        <f aca="false">IFERROR(MID(D630,1,FIND("|",D630)-1)&amp;"-"&amp;C630,"")</f>
        <v/>
      </c>
    </row>
    <row r="631" customFormat="false" ht="14.25" hidden="false" customHeight="false" outlineLevel="0" collapsed="false">
      <c r="A631" s="18" t="str">
        <f aca="false">IFERROR(MID(D631,1,FIND("|",D631)-1)&amp;"-"&amp;C631,"")</f>
        <v/>
      </c>
    </row>
    <row r="632" customFormat="false" ht="14.25" hidden="false" customHeight="false" outlineLevel="0" collapsed="false">
      <c r="A632" s="18" t="str">
        <f aca="false">IFERROR(MID(D632,1,FIND("|",D632)-1)&amp;"-"&amp;C632,"")</f>
        <v/>
      </c>
    </row>
    <row r="633" customFormat="false" ht="14.25" hidden="false" customHeight="false" outlineLevel="0" collapsed="false">
      <c r="A633" s="18" t="str">
        <f aca="false">IFERROR(MID(D633,1,FIND("|",D633)-1)&amp;"-"&amp;C633,"")</f>
        <v/>
      </c>
    </row>
    <row r="634" customFormat="false" ht="14.25" hidden="false" customHeight="false" outlineLevel="0" collapsed="false">
      <c r="A634" s="18" t="str">
        <f aca="false">IFERROR(MID(D634,1,FIND("|",D634)-1)&amp;"-"&amp;C634,"")</f>
        <v/>
      </c>
    </row>
    <row r="635" customFormat="false" ht="14.25" hidden="false" customHeight="false" outlineLevel="0" collapsed="false">
      <c r="A635" s="18" t="str">
        <f aca="false">IFERROR(MID(D635,1,FIND("|",D635)-1)&amp;"-"&amp;C635,"")</f>
        <v/>
      </c>
    </row>
    <row r="636" customFormat="false" ht="14.25" hidden="false" customHeight="false" outlineLevel="0" collapsed="false">
      <c r="A636" s="18" t="str">
        <f aca="false">IFERROR(MID(D636,1,FIND("|",D636)-1)&amp;"-"&amp;C636,"")</f>
        <v/>
      </c>
    </row>
    <row r="637" customFormat="false" ht="14.25" hidden="false" customHeight="false" outlineLevel="0" collapsed="false">
      <c r="A637" s="18" t="str">
        <f aca="false">IFERROR(MID(D637,1,FIND("|",D637)-1)&amp;"-"&amp;C637,"")</f>
        <v/>
      </c>
    </row>
    <row r="638" customFormat="false" ht="14.25" hidden="false" customHeight="false" outlineLevel="0" collapsed="false">
      <c r="A638" s="18" t="str">
        <f aca="false">IFERROR(MID(D638,1,FIND("|",D638)-1)&amp;"-"&amp;C638,"")</f>
        <v/>
      </c>
    </row>
    <row r="639" customFormat="false" ht="14.25" hidden="false" customHeight="false" outlineLevel="0" collapsed="false">
      <c r="A639" s="18" t="str">
        <f aca="false">IFERROR(MID(D639,1,FIND("|",D639)-1)&amp;"-"&amp;C639,"")</f>
        <v/>
      </c>
    </row>
    <row r="640" customFormat="false" ht="14.25" hidden="false" customHeight="false" outlineLevel="0" collapsed="false">
      <c r="A640" s="18" t="str">
        <f aca="false">IFERROR(MID(D640,1,FIND("|",D640)-1)&amp;"-"&amp;C640,"")</f>
        <v/>
      </c>
    </row>
    <row r="641" customFormat="false" ht="14.25" hidden="false" customHeight="false" outlineLevel="0" collapsed="false">
      <c r="A641" s="18" t="str">
        <f aca="false">IFERROR(MID(D641,1,FIND("|",D641)-1)&amp;"-"&amp;C641,"")</f>
        <v/>
      </c>
    </row>
    <row r="642" customFormat="false" ht="14.25" hidden="false" customHeight="false" outlineLevel="0" collapsed="false">
      <c r="A642" s="18" t="str">
        <f aca="false">IFERROR(MID(D642,1,FIND("|",D642)-1)&amp;"-"&amp;C642,"")</f>
        <v/>
      </c>
    </row>
    <row r="643" customFormat="false" ht="14.25" hidden="false" customHeight="false" outlineLevel="0" collapsed="false">
      <c r="A643" s="18" t="str">
        <f aca="false">IFERROR(MID(D643,1,FIND("|",D643)-1)&amp;"-"&amp;C643,"")</f>
        <v/>
      </c>
    </row>
    <row r="644" customFormat="false" ht="14.25" hidden="false" customHeight="false" outlineLevel="0" collapsed="false">
      <c r="A644" s="18" t="str">
        <f aca="false">IFERROR(MID(D644,1,FIND("|",D644)-1)&amp;"-"&amp;C644,"")</f>
        <v/>
      </c>
    </row>
    <row r="645" customFormat="false" ht="14.25" hidden="false" customHeight="false" outlineLevel="0" collapsed="false">
      <c r="A645" s="18" t="str">
        <f aca="false">IFERROR(MID(D645,1,FIND("|",D645)-1)&amp;"-"&amp;C645,"")</f>
        <v/>
      </c>
    </row>
    <row r="646" customFormat="false" ht="14.25" hidden="false" customHeight="false" outlineLevel="0" collapsed="false">
      <c r="A646" s="18" t="str">
        <f aca="false">IFERROR(MID(D646,1,FIND("|",D646)-1)&amp;"-"&amp;C646,"")</f>
        <v/>
      </c>
    </row>
    <row r="647" customFormat="false" ht="14.25" hidden="false" customHeight="false" outlineLevel="0" collapsed="false">
      <c r="A647" s="18" t="str">
        <f aca="false">IFERROR(MID(D647,1,FIND("|",D647)-1)&amp;"-"&amp;C647,"")</f>
        <v/>
      </c>
    </row>
    <row r="648" customFormat="false" ht="14.25" hidden="false" customHeight="false" outlineLevel="0" collapsed="false">
      <c r="A648" s="18" t="str">
        <f aca="false">IFERROR(MID(D648,1,FIND("|",D648)-1)&amp;"-"&amp;C648,"")</f>
        <v/>
      </c>
    </row>
    <row r="649" customFormat="false" ht="14.25" hidden="false" customHeight="false" outlineLevel="0" collapsed="false">
      <c r="A649" s="18" t="str">
        <f aca="false">IFERROR(MID(D649,1,FIND("|",D649)-1)&amp;"-"&amp;C649,"")</f>
        <v/>
      </c>
    </row>
    <row r="650" customFormat="false" ht="14.25" hidden="false" customHeight="false" outlineLevel="0" collapsed="false">
      <c r="A650" s="18" t="str">
        <f aca="false">IFERROR(MID(D650,1,FIND("|",D650)-1)&amp;"-"&amp;C650,"")</f>
        <v/>
      </c>
    </row>
    <row r="651" customFormat="false" ht="14.25" hidden="false" customHeight="false" outlineLevel="0" collapsed="false">
      <c r="A651" s="18" t="str">
        <f aca="false">IFERROR(MID(D651,1,FIND("|",D651)-1)&amp;"-"&amp;C651,"")</f>
        <v/>
      </c>
    </row>
    <row r="652" customFormat="false" ht="14.25" hidden="false" customHeight="false" outlineLevel="0" collapsed="false">
      <c r="A652" s="18" t="str">
        <f aca="false">IFERROR(MID(D652,1,FIND("|",D652)-1)&amp;"-"&amp;C652,"")</f>
        <v/>
      </c>
    </row>
    <row r="653" customFormat="false" ht="14.25" hidden="false" customHeight="false" outlineLevel="0" collapsed="false">
      <c r="A653" s="18" t="str">
        <f aca="false">IFERROR(MID(D653,1,FIND("|",D653)-1)&amp;"-"&amp;C653,"")</f>
        <v/>
      </c>
    </row>
    <row r="654" customFormat="false" ht="14.25" hidden="false" customHeight="false" outlineLevel="0" collapsed="false">
      <c r="A654" s="18" t="str">
        <f aca="false">IFERROR(MID(D654,1,FIND("|",D654)-1)&amp;"-"&amp;C654,"")</f>
        <v/>
      </c>
    </row>
    <row r="655" customFormat="false" ht="14.25" hidden="false" customHeight="false" outlineLevel="0" collapsed="false">
      <c r="A655" s="18" t="str">
        <f aca="false">IFERROR(MID(D655,1,FIND("|",D655)-1)&amp;"-"&amp;C655,"")</f>
        <v/>
      </c>
    </row>
    <row r="656" customFormat="false" ht="14.25" hidden="false" customHeight="false" outlineLevel="0" collapsed="false">
      <c r="A656" s="18" t="str">
        <f aca="false">IFERROR(MID(D656,1,FIND("|",D656)-1)&amp;"-"&amp;C656,"")</f>
        <v/>
      </c>
    </row>
    <row r="657" customFormat="false" ht="14.25" hidden="false" customHeight="false" outlineLevel="0" collapsed="false">
      <c r="A657" s="18" t="str">
        <f aca="false">IFERROR(MID(D657,1,FIND("|",D657)-1)&amp;"-"&amp;C657,"")</f>
        <v/>
      </c>
    </row>
    <row r="658" customFormat="false" ht="14.25" hidden="false" customHeight="false" outlineLevel="0" collapsed="false">
      <c r="A658" s="18" t="str">
        <f aca="false">IFERROR(MID(D658,1,FIND("|",D658)-1)&amp;"-"&amp;C658,"")</f>
        <v/>
      </c>
    </row>
    <row r="659" customFormat="false" ht="14.25" hidden="false" customHeight="false" outlineLevel="0" collapsed="false">
      <c r="A659" s="18" t="str">
        <f aca="false">IFERROR(MID(D659,1,FIND("|",D659)-1)&amp;"-"&amp;C659,"")</f>
        <v/>
      </c>
    </row>
    <row r="660" customFormat="false" ht="14.25" hidden="false" customHeight="false" outlineLevel="0" collapsed="false">
      <c r="A660" s="18" t="str">
        <f aca="false">IFERROR(MID(D660,1,FIND("|",D660)-1)&amp;"-"&amp;C660,"")</f>
        <v/>
      </c>
    </row>
    <row r="661" customFormat="false" ht="14.25" hidden="false" customHeight="false" outlineLevel="0" collapsed="false">
      <c r="A661" s="18" t="str">
        <f aca="false">IFERROR(MID(D661,1,FIND("|",D661)-1)&amp;"-"&amp;C661,"")</f>
        <v/>
      </c>
    </row>
    <row r="662" customFormat="false" ht="14.25" hidden="false" customHeight="false" outlineLevel="0" collapsed="false">
      <c r="A662" s="18" t="str">
        <f aca="false">IFERROR(MID(D662,1,FIND("|",D662)-1)&amp;"-"&amp;C662,"")</f>
        <v/>
      </c>
    </row>
    <row r="663" customFormat="false" ht="14.25" hidden="false" customHeight="false" outlineLevel="0" collapsed="false">
      <c r="A663" s="18" t="str">
        <f aca="false">IFERROR(MID(D663,1,FIND("|",D663)-1)&amp;"-"&amp;C663,"")</f>
        <v/>
      </c>
    </row>
    <row r="664" customFormat="false" ht="14.25" hidden="false" customHeight="false" outlineLevel="0" collapsed="false">
      <c r="A664" s="18" t="str">
        <f aca="false">IFERROR(MID(D664,1,FIND("|",D664)-1)&amp;"-"&amp;C664,"")</f>
        <v/>
      </c>
    </row>
    <row r="665" customFormat="false" ht="14.25" hidden="false" customHeight="false" outlineLevel="0" collapsed="false">
      <c r="A665" s="18" t="str">
        <f aca="false">IFERROR(MID(D665,1,FIND("|",D665)-1)&amp;"-"&amp;C665,"")</f>
        <v/>
      </c>
    </row>
    <row r="666" customFormat="false" ht="14.25" hidden="false" customHeight="false" outlineLevel="0" collapsed="false">
      <c r="A666" s="18" t="str">
        <f aca="false">IFERROR(MID(D666,1,FIND("|",D666)-1)&amp;"-"&amp;C666,"")</f>
        <v/>
      </c>
    </row>
    <row r="667" customFormat="false" ht="14.25" hidden="false" customHeight="false" outlineLevel="0" collapsed="false">
      <c r="A667" s="18" t="str">
        <f aca="false">IFERROR(MID(D667,1,FIND("|",D667)-1)&amp;"-"&amp;C667,"")</f>
        <v/>
      </c>
    </row>
    <row r="668" customFormat="false" ht="14.25" hidden="false" customHeight="false" outlineLevel="0" collapsed="false">
      <c r="A668" s="18" t="str">
        <f aca="false">IFERROR(MID(D668,1,FIND("|",D668)-1)&amp;"-"&amp;C668,"")</f>
        <v/>
      </c>
    </row>
    <row r="669" customFormat="false" ht="14.25" hidden="false" customHeight="false" outlineLevel="0" collapsed="false">
      <c r="A669" s="18" t="str">
        <f aca="false">IFERROR(MID(D669,1,FIND("|",D669)-1)&amp;"-"&amp;C669,"")</f>
        <v/>
      </c>
    </row>
    <row r="670" customFormat="false" ht="14.25" hidden="false" customHeight="false" outlineLevel="0" collapsed="false">
      <c r="A670" s="18" t="str">
        <f aca="false">IFERROR(MID(D670,1,FIND("|",D670)-1)&amp;"-"&amp;C670,"")</f>
        <v/>
      </c>
    </row>
    <row r="671" customFormat="false" ht="14.25" hidden="false" customHeight="false" outlineLevel="0" collapsed="false">
      <c r="A671" s="18" t="str">
        <f aca="false">IFERROR(MID(D671,1,FIND("|",D671)-1)&amp;"-"&amp;C671,"")</f>
        <v/>
      </c>
    </row>
    <row r="672" customFormat="false" ht="14.25" hidden="false" customHeight="false" outlineLevel="0" collapsed="false">
      <c r="A672" s="18" t="str">
        <f aca="false">IFERROR(MID(D672,1,FIND("|",D672)-1)&amp;"-"&amp;C672,"")</f>
        <v/>
      </c>
    </row>
    <row r="673" customFormat="false" ht="14.25" hidden="false" customHeight="false" outlineLevel="0" collapsed="false">
      <c r="A673" s="18" t="str">
        <f aca="false">IFERROR(MID(D673,1,FIND("|",D673)-1)&amp;"-"&amp;C673,"")</f>
        <v/>
      </c>
    </row>
    <row r="674" customFormat="false" ht="14.25" hidden="false" customHeight="false" outlineLevel="0" collapsed="false">
      <c r="A674" s="18" t="str">
        <f aca="false">IFERROR(MID(D674,1,FIND("|",D674)-1)&amp;"-"&amp;C674,"")</f>
        <v/>
      </c>
    </row>
    <row r="675" customFormat="false" ht="14.25" hidden="false" customHeight="false" outlineLevel="0" collapsed="false">
      <c r="A675" s="18" t="str">
        <f aca="false">IFERROR(MID(D675,1,FIND("|",D675)-1)&amp;"-"&amp;C675,"")</f>
        <v/>
      </c>
    </row>
    <row r="676" customFormat="false" ht="14.25" hidden="false" customHeight="false" outlineLevel="0" collapsed="false">
      <c r="A676" s="18" t="str">
        <f aca="false">IFERROR(MID(D676,1,FIND("|",D676)-1)&amp;"-"&amp;C676,"")</f>
        <v/>
      </c>
    </row>
    <row r="677" customFormat="false" ht="14.25" hidden="false" customHeight="false" outlineLevel="0" collapsed="false">
      <c r="A677" s="18" t="str">
        <f aca="false">IFERROR(MID(D677,1,FIND("|",D677)-1)&amp;"-"&amp;C677,"")</f>
        <v/>
      </c>
    </row>
    <row r="678" customFormat="false" ht="14.25" hidden="false" customHeight="false" outlineLevel="0" collapsed="false">
      <c r="A678" s="18" t="str">
        <f aca="false">IFERROR(MID(D678,1,FIND("|",D678)-1)&amp;"-"&amp;C678,"")</f>
        <v/>
      </c>
    </row>
    <row r="679" customFormat="false" ht="14.25" hidden="false" customHeight="false" outlineLevel="0" collapsed="false">
      <c r="A679" s="18" t="str">
        <f aca="false">IFERROR(MID(D679,1,FIND("|",D679)-1)&amp;"-"&amp;C679,"")</f>
        <v/>
      </c>
    </row>
    <row r="680" customFormat="false" ht="14.25" hidden="false" customHeight="false" outlineLevel="0" collapsed="false">
      <c r="A680" s="18" t="str">
        <f aca="false">IFERROR(MID(D680,1,FIND("|",D680)-1)&amp;"-"&amp;C680,"")</f>
        <v/>
      </c>
    </row>
    <row r="681" customFormat="false" ht="14.25" hidden="false" customHeight="false" outlineLevel="0" collapsed="false">
      <c r="A681" s="18" t="str">
        <f aca="false">IFERROR(MID(D681,1,FIND("|",D681)-1)&amp;"-"&amp;C681,"")</f>
        <v/>
      </c>
    </row>
    <row r="682" customFormat="false" ht="14.25" hidden="false" customHeight="false" outlineLevel="0" collapsed="false">
      <c r="A682" s="18" t="str">
        <f aca="false">IFERROR(MID(D682,1,FIND("|",D682)-1)&amp;"-"&amp;C682,"")</f>
        <v/>
      </c>
    </row>
    <row r="683" customFormat="false" ht="14.25" hidden="false" customHeight="false" outlineLevel="0" collapsed="false">
      <c r="A683" s="18" t="str">
        <f aca="false">IFERROR(MID(D683,1,FIND("|",D683)-1)&amp;"-"&amp;C683,"")</f>
        <v/>
      </c>
    </row>
    <row r="684" customFormat="false" ht="14.25" hidden="false" customHeight="false" outlineLevel="0" collapsed="false">
      <c r="A684" s="18" t="str">
        <f aca="false">IFERROR(MID(D684,1,FIND("|",D684)-1)&amp;"-"&amp;C684,"")</f>
        <v/>
      </c>
    </row>
    <row r="685" customFormat="false" ht="14.25" hidden="false" customHeight="false" outlineLevel="0" collapsed="false">
      <c r="A685" s="18" t="str">
        <f aca="false">IFERROR(MID(D685,1,FIND("|",D685)-1)&amp;"-"&amp;C685,"")</f>
        <v/>
      </c>
    </row>
    <row r="686" customFormat="false" ht="14.25" hidden="false" customHeight="false" outlineLevel="0" collapsed="false">
      <c r="A686" s="18" t="str">
        <f aca="false">IFERROR(MID(D686,1,FIND("|",D686)-1)&amp;"-"&amp;C686,"")</f>
        <v/>
      </c>
    </row>
    <row r="687" customFormat="false" ht="14.25" hidden="false" customHeight="false" outlineLevel="0" collapsed="false">
      <c r="A687" s="18" t="str">
        <f aca="false">IFERROR(MID(D687,1,FIND("|",D687)-1)&amp;"-"&amp;C687,"")</f>
        <v/>
      </c>
    </row>
    <row r="688" customFormat="false" ht="14.25" hidden="false" customHeight="false" outlineLevel="0" collapsed="false">
      <c r="A688" s="18" t="str">
        <f aca="false">IFERROR(MID(D688,1,FIND("|",D688)-1)&amp;"-"&amp;C688,"")</f>
        <v/>
      </c>
    </row>
    <row r="689" customFormat="false" ht="14.25" hidden="false" customHeight="false" outlineLevel="0" collapsed="false">
      <c r="A689" s="18" t="str">
        <f aca="false">IFERROR(MID(D689,1,FIND("|",D689)-1)&amp;"-"&amp;C689,"")</f>
        <v/>
      </c>
    </row>
    <row r="690" customFormat="false" ht="14.25" hidden="false" customHeight="false" outlineLevel="0" collapsed="false">
      <c r="A690" s="18" t="str">
        <f aca="false">IFERROR(MID(D690,1,FIND("|",D690)-1)&amp;"-"&amp;C690,"")</f>
        <v/>
      </c>
    </row>
    <row r="691" customFormat="false" ht="14.25" hidden="false" customHeight="false" outlineLevel="0" collapsed="false">
      <c r="A691" s="18" t="str">
        <f aca="false">IFERROR(MID(D691,1,FIND("|",D691)-1)&amp;"-"&amp;C691,"")</f>
        <v/>
      </c>
    </row>
    <row r="692" customFormat="false" ht="14.25" hidden="false" customHeight="false" outlineLevel="0" collapsed="false">
      <c r="A692" s="18" t="str">
        <f aca="false">IFERROR(MID(D692,1,FIND("|",D692)-1)&amp;"-"&amp;C692,"")</f>
        <v/>
      </c>
    </row>
    <row r="693" customFormat="false" ht="14.25" hidden="false" customHeight="false" outlineLevel="0" collapsed="false">
      <c r="A693" s="18" t="str">
        <f aca="false">IFERROR(MID(D693,1,FIND("|",D693)-1)&amp;"-"&amp;C693,"")</f>
        <v/>
      </c>
    </row>
    <row r="694" customFormat="false" ht="14.25" hidden="false" customHeight="false" outlineLevel="0" collapsed="false">
      <c r="A694" s="18" t="str">
        <f aca="false">IFERROR(MID(D694,1,FIND("|",D694)-1)&amp;"-"&amp;C694,"")</f>
        <v/>
      </c>
    </row>
    <row r="695" customFormat="false" ht="14.25" hidden="false" customHeight="false" outlineLevel="0" collapsed="false">
      <c r="A695" s="18" t="str">
        <f aca="false">IFERROR(MID(D695,1,FIND("|",D695)-1)&amp;"-"&amp;C695,"")</f>
        <v/>
      </c>
    </row>
    <row r="696" customFormat="false" ht="14.25" hidden="false" customHeight="false" outlineLevel="0" collapsed="false">
      <c r="A696" s="18" t="str">
        <f aca="false">IFERROR(MID(D696,1,FIND("|",D696)-1)&amp;"-"&amp;C696,"")</f>
        <v/>
      </c>
    </row>
    <row r="697" customFormat="false" ht="14.25" hidden="false" customHeight="false" outlineLevel="0" collapsed="false">
      <c r="A697" s="18" t="str">
        <f aca="false">IFERROR(MID(D697,1,FIND("|",D697)-1)&amp;"-"&amp;C697,"")</f>
        <v/>
      </c>
    </row>
    <row r="698" customFormat="false" ht="14.25" hidden="false" customHeight="false" outlineLevel="0" collapsed="false">
      <c r="A698" s="18" t="str">
        <f aca="false">IFERROR(MID(D698,1,FIND("|",D698)-1)&amp;"-"&amp;C698,"")</f>
        <v/>
      </c>
    </row>
    <row r="699" customFormat="false" ht="14.25" hidden="false" customHeight="false" outlineLevel="0" collapsed="false">
      <c r="A699" s="18" t="str">
        <f aca="false">IFERROR(MID(D699,1,FIND("|",D699)-1)&amp;"-"&amp;C699,"")</f>
        <v/>
      </c>
    </row>
    <row r="700" customFormat="false" ht="14.25" hidden="false" customHeight="false" outlineLevel="0" collapsed="false">
      <c r="A700" s="18" t="str">
        <f aca="false">IFERROR(MID(D700,1,FIND("|",D700)-1)&amp;"-"&amp;C700,"")</f>
        <v/>
      </c>
    </row>
    <row r="701" customFormat="false" ht="14.25" hidden="false" customHeight="false" outlineLevel="0" collapsed="false">
      <c r="A701" s="18" t="str">
        <f aca="false">IFERROR(MID(D701,1,FIND("|",D701)-1)&amp;"-"&amp;C701,"")</f>
        <v/>
      </c>
    </row>
    <row r="702" customFormat="false" ht="14.25" hidden="false" customHeight="false" outlineLevel="0" collapsed="false">
      <c r="A702" s="18" t="str">
        <f aca="false">IFERROR(MID(D702,1,FIND("|",D702)-1)&amp;"-"&amp;C702,"")</f>
        <v/>
      </c>
    </row>
    <row r="703" customFormat="false" ht="14.25" hidden="false" customHeight="false" outlineLevel="0" collapsed="false">
      <c r="A703" s="18" t="str">
        <f aca="false">IFERROR(MID(D703,1,FIND("|",D703)-1)&amp;"-"&amp;C703,"")</f>
        <v/>
      </c>
    </row>
    <row r="704" customFormat="false" ht="14.25" hidden="false" customHeight="false" outlineLevel="0" collapsed="false">
      <c r="A704" s="18" t="str">
        <f aca="false">IFERROR(MID(D704,1,FIND("|",D704)-1)&amp;"-"&amp;C704,"")</f>
        <v/>
      </c>
    </row>
    <row r="705" customFormat="false" ht="14.25" hidden="false" customHeight="false" outlineLevel="0" collapsed="false">
      <c r="A705" s="18" t="str">
        <f aca="false">IFERROR(MID(D705,1,FIND("|",D705)-1)&amp;"-"&amp;C705,"")</f>
        <v/>
      </c>
    </row>
    <row r="706" customFormat="false" ht="14.25" hidden="false" customHeight="false" outlineLevel="0" collapsed="false">
      <c r="A706" s="18" t="str">
        <f aca="false">IFERROR(MID(D706,1,FIND("|",D706)-1)&amp;"-"&amp;C706,"")</f>
        <v/>
      </c>
    </row>
    <row r="707" customFormat="false" ht="14.25" hidden="false" customHeight="false" outlineLevel="0" collapsed="false">
      <c r="A707" s="18" t="str">
        <f aca="false">IFERROR(MID(D707,1,FIND("|",D707)-1)&amp;"-"&amp;C707,"")</f>
        <v/>
      </c>
    </row>
    <row r="708" customFormat="false" ht="14.25" hidden="false" customHeight="false" outlineLevel="0" collapsed="false">
      <c r="A708" s="18" t="str">
        <f aca="false">IFERROR(MID(D708,1,FIND("|",D708)-1)&amp;"-"&amp;C708,"")</f>
        <v/>
      </c>
    </row>
    <row r="709" customFormat="false" ht="14.25" hidden="false" customHeight="false" outlineLevel="0" collapsed="false">
      <c r="A709" s="18" t="str">
        <f aca="false">IFERROR(MID(D709,1,FIND("|",D709)-1)&amp;"-"&amp;C709,"")</f>
        <v/>
      </c>
    </row>
    <row r="710" customFormat="false" ht="14.25" hidden="false" customHeight="false" outlineLevel="0" collapsed="false">
      <c r="A710" s="18" t="str">
        <f aca="false">IFERROR(MID(D710,1,FIND("|",D710)-1)&amp;"-"&amp;C710,"")</f>
        <v/>
      </c>
    </row>
    <row r="711" customFormat="false" ht="14.25" hidden="false" customHeight="false" outlineLevel="0" collapsed="false">
      <c r="A711" s="18" t="str">
        <f aca="false">IFERROR(MID(D711,1,FIND("|",D711)-1)&amp;"-"&amp;C711,"")</f>
        <v/>
      </c>
    </row>
    <row r="712" customFormat="false" ht="14.25" hidden="false" customHeight="false" outlineLevel="0" collapsed="false">
      <c r="A712" s="18" t="str">
        <f aca="false">IFERROR(MID(D712,1,FIND("|",D712)-1)&amp;"-"&amp;C712,"")</f>
        <v/>
      </c>
    </row>
    <row r="713" customFormat="false" ht="14.25" hidden="false" customHeight="false" outlineLevel="0" collapsed="false">
      <c r="A713" s="18" t="str">
        <f aca="false">IFERROR(MID(D713,1,FIND("|",D713)-1)&amp;"-"&amp;C713,"")</f>
        <v/>
      </c>
    </row>
    <row r="714" customFormat="false" ht="14.25" hidden="false" customHeight="false" outlineLevel="0" collapsed="false">
      <c r="A714" s="18" t="str">
        <f aca="false">IFERROR(MID(D714,1,FIND("|",D714)-1)&amp;"-"&amp;C714,"")</f>
        <v/>
      </c>
    </row>
    <row r="715" customFormat="false" ht="14.25" hidden="false" customHeight="false" outlineLevel="0" collapsed="false">
      <c r="A715" s="18" t="str">
        <f aca="false">IFERROR(MID(D715,1,FIND("|",D715)-1)&amp;"-"&amp;C715,"")</f>
        <v/>
      </c>
    </row>
    <row r="716" customFormat="false" ht="14.25" hidden="false" customHeight="false" outlineLevel="0" collapsed="false">
      <c r="A716" s="18" t="str">
        <f aca="false">IFERROR(MID(D716,1,FIND("|",D716)-1)&amp;"-"&amp;C716,"")</f>
        <v/>
      </c>
    </row>
    <row r="717" customFormat="false" ht="14.25" hidden="false" customHeight="false" outlineLevel="0" collapsed="false">
      <c r="A717" s="18" t="str">
        <f aca="false">IFERROR(MID(D717,1,FIND("|",D717)-1)&amp;"-"&amp;C717,"")</f>
        <v/>
      </c>
    </row>
    <row r="718" customFormat="false" ht="14.25" hidden="false" customHeight="false" outlineLevel="0" collapsed="false">
      <c r="A718" s="18" t="str">
        <f aca="false">IFERROR(MID(D718,1,FIND("|",D718)-1)&amp;"-"&amp;C718,"")</f>
        <v/>
      </c>
    </row>
    <row r="719" customFormat="false" ht="14.25" hidden="false" customHeight="false" outlineLevel="0" collapsed="false">
      <c r="A719" s="18" t="str">
        <f aca="false">IFERROR(MID(D719,1,FIND("|",D719)-1)&amp;"-"&amp;C719,"")</f>
        <v/>
      </c>
    </row>
    <row r="720" customFormat="false" ht="14.25" hidden="false" customHeight="false" outlineLevel="0" collapsed="false">
      <c r="A720" s="18" t="str">
        <f aca="false">IFERROR(MID(D720,1,FIND("|",D720)-1)&amp;"-"&amp;C720,"")</f>
        <v/>
      </c>
    </row>
    <row r="721" customFormat="false" ht="14.25" hidden="false" customHeight="false" outlineLevel="0" collapsed="false">
      <c r="A721" s="18" t="str">
        <f aca="false">IFERROR(MID(D721,1,FIND("|",D721)-1)&amp;"-"&amp;C721,"")</f>
        <v/>
      </c>
    </row>
    <row r="722" customFormat="false" ht="14.25" hidden="false" customHeight="false" outlineLevel="0" collapsed="false">
      <c r="A722" s="18" t="str">
        <f aca="false">IFERROR(MID(D722,1,FIND("|",D722)-1)&amp;"-"&amp;C722,"")</f>
        <v/>
      </c>
    </row>
    <row r="723" customFormat="false" ht="14.25" hidden="false" customHeight="false" outlineLevel="0" collapsed="false">
      <c r="A723" s="18" t="str">
        <f aca="false">IFERROR(MID(D723,1,FIND("|",D723)-1)&amp;"-"&amp;C723,"")</f>
        <v/>
      </c>
    </row>
    <row r="724" customFormat="false" ht="14.25" hidden="false" customHeight="false" outlineLevel="0" collapsed="false">
      <c r="A724" s="18" t="str">
        <f aca="false">IFERROR(MID(D724,1,FIND("|",D724)-1)&amp;"-"&amp;C724,"")</f>
        <v/>
      </c>
    </row>
    <row r="725" customFormat="false" ht="14.25" hidden="false" customHeight="false" outlineLevel="0" collapsed="false">
      <c r="A725" s="18" t="str">
        <f aca="false">IFERROR(MID(D725,1,FIND("|",D725)-1)&amp;"-"&amp;C725,"")</f>
        <v/>
      </c>
    </row>
    <row r="726" customFormat="false" ht="14.25" hidden="false" customHeight="false" outlineLevel="0" collapsed="false">
      <c r="A726" s="18" t="str">
        <f aca="false">IFERROR(MID(D726,1,FIND("|",D726)-1)&amp;"-"&amp;C726,"")</f>
        <v/>
      </c>
    </row>
    <row r="727" customFormat="false" ht="14.25" hidden="false" customHeight="false" outlineLevel="0" collapsed="false">
      <c r="A727" s="18" t="str">
        <f aca="false">IFERROR(MID(D727,1,FIND("|",D727)-1)&amp;"-"&amp;C727,"")</f>
        <v/>
      </c>
    </row>
    <row r="728" customFormat="false" ht="14.25" hidden="false" customHeight="false" outlineLevel="0" collapsed="false">
      <c r="A728" s="18" t="str">
        <f aca="false">IFERROR(MID(D728,1,FIND("|",D728)-1)&amp;"-"&amp;C728,"")</f>
        <v/>
      </c>
    </row>
    <row r="729" customFormat="false" ht="14.25" hidden="false" customHeight="false" outlineLevel="0" collapsed="false">
      <c r="A729" s="18" t="str">
        <f aca="false">IFERROR(MID(D729,1,FIND("|",D729)-1)&amp;"-"&amp;C729,"")</f>
        <v/>
      </c>
    </row>
    <row r="730" customFormat="false" ht="14.25" hidden="false" customHeight="false" outlineLevel="0" collapsed="false">
      <c r="A730" s="18" t="str">
        <f aca="false">IFERROR(MID(D730,1,FIND("|",D730)-1)&amp;"-"&amp;C730,"")</f>
        <v/>
      </c>
    </row>
    <row r="731" customFormat="false" ht="14.25" hidden="false" customHeight="false" outlineLevel="0" collapsed="false">
      <c r="A731" s="18" t="str">
        <f aca="false">IFERROR(MID(D731,1,FIND("|",D731)-1)&amp;"-"&amp;C731,"")</f>
        <v/>
      </c>
    </row>
    <row r="732" customFormat="false" ht="14.25" hidden="false" customHeight="false" outlineLevel="0" collapsed="false">
      <c r="A732" s="18" t="str">
        <f aca="false">IFERROR(MID(D732,1,FIND("|",D732)-1)&amp;"-"&amp;C732,"")</f>
        <v/>
      </c>
    </row>
    <row r="733" customFormat="false" ht="14.25" hidden="false" customHeight="false" outlineLevel="0" collapsed="false">
      <c r="A733" s="18" t="str">
        <f aca="false">IFERROR(MID(D733,1,FIND("|",D733)-1)&amp;"-"&amp;C733,"")</f>
        <v/>
      </c>
    </row>
    <row r="734" customFormat="false" ht="14.25" hidden="false" customHeight="false" outlineLevel="0" collapsed="false">
      <c r="A734" s="18" t="str">
        <f aca="false">IFERROR(MID(D734,1,FIND("|",D734)-1)&amp;"-"&amp;C734,"")</f>
        <v/>
      </c>
    </row>
    <row r="735" customFormat="false" ht="14.25" hidden="false" customHeight="false" outlineLevel="0" collapsed="false">
      <c r="A735" s="18" t="str">
        <f aca="false">IFERROR(MID(D735,1,FIND("|",D735)-1)&amp;"-"&amp;C735,"")</f>
        <v/>
      </c>
    </row>
    <row r="736" customFormat="false" ht="14.25" hidden="false" customHeight="false" outlineLevel="0" collapsed="false">
      <c r="A736" s="18" t="str">
        <f aca="false">IFERROR(MID(D736,1,FIND("|",D736)-1)&amp;"-"&amp;C736,"")</f>
        <v/>
      </c>
    </row>
    <row r="737" customFormat="false" ht="14.25" hidden="false" customHeight="false" outlineLevel="0" collapsed="false">
      <c r="A737" s="18" t="str">
        <f aca="false">IFERROR(MID(D737,1,FIND("|",D737)-1)&amp;"-"&amp;C737,"")</f>
        <v/>
      </c>
    </row>
    <row r="738" customFormat="false" ht="14.25" hidden="false" customHeight="false" outlineLevel="0" collapsed="false">
      <c r="A738" s="18" t="str">
        <f aca="false">IFERROR(MID(D738,1,FIND("|",D738)-1)&amp;"-"&amp;C738,"")</f>
        <v/>
      </c>
    </row>
    <row r="739" customFormat="false" ht="14.25" hidden="false" customHeight="false" outlineLevel="0" collapsed="false">
      <c r="A739" s="18" t="str">
        <f aca="false">IFERROR(MID(D739,1,FIND("|",D739)-1)&amp;"-"&amp;C739,"")</f>
        <v/>
      </c>
    </row>
    <row r="740" customFormat="false" ht="14.25" hidden="false" customHeight="false" outlineLevel="0" collapsed="false">
      <c r="A740" s="18" t="str">
        <f aca="false">IFERROR(MID(D740,1,FIND("|",D740)-1)&amp;"-"&amp;C740,"")</f>
        <v/>
      </c>
    </row>
    <row r="741" customFormat="false" ht="14.25" hidden="false" customHeight="false" outlineLevel="0" collapsed="false">
      <c r="A741" s="18" t="str">
        <f aca="false">IFERROR(MID(D741,1,FIND("|",D741)-1)&amp;"-"&amp;C741,"")</f>
        <v/>
      </c>
    </row>
    <row r="742" customFormat="false" ht="14.25" hidden="false" customHeight="false" outlineLevel="0" collapsed="false">
      <c r="A742" s="18" t="str">
        <f aca="false">IFERROR(MID(D742,1,FIND("|",D742)-1)&amp;"-"&amp;C742,"")</f>
        <v/>
      </c>
    </row>
    <row r="743" customFormat="false" ht="14.25" hidden="false" customHeight="false" outlineLevel="0" collapsed="false">
      <c r="A743" s="18" t="str">
        <f aca="false">IFERROR(MID(D743,1,FIND("|",D743)-1)&amp;"-"&amp;C743,"")</f>
        <v/>
      </c>
    </row>
    <row r="744" customFormat="false" ht="14.25" hidden="false" customHeight="false" outlineLevel="0" collapsed="false">
      <c r="A744" s="18" t="str">
        <f aca="false">IFERROR(MID(D744,1,FIND("|",D744)-1)&amp;"-"&amp;C744,"")</f>
        <v/>
      </c>
    </row>
    <row r="745" customFormat="false" ht="14.25" hidden="false" customHeight="false" outlineLevel="0" collapsed="false">
      <c r="A745" s="18" t="str">
        <f aca="false">IFERROR(MID(D745,1,FIND("|",D745)-1)&amp;"-"&amp;C745,"")</f>
        <v/>
      </c>
    </row>
    <row r="746" customFormat="false" ht="14.25" hidden="false" customHeight="false" outlineLevel="0" collapsed="false">
      <c r="A746" s="18" t="str">
        <f aca="false">IFERROR(MID(D746,1,FIND("|",D746)-1)&amp;"-"&amp;C746,"")</f>
        <v/>
      </c>
    </row>
    <row r="747" customFormat="false" ht="14.25" hidden="false" customHeight="false" outlineLevel="0" collapsed="false">
      <c r="A747" s="18" t="str">
        <f aca="false">IFERROR(MID(D747,1,FIND("|",D747)-1)&amp;"-"&amp;C747,"")</f>
        <v/>
      </c>
    </row>
    <row r="748" customFormat="false" ht="14.25" hidden="false" customHeight="false" outlineLevel="0" collapsed="false">
      <c r="A748" s="18" t="str">
        <f aca="false">IFERROR(MID(D748,1,FIND("|",D748)-1)&amp;"-"&amp;C748,"")</f>
        <v/>
      </c>
    </row>
    <row r="749" customFormat="false" ht="14.25" hidden="false" customHeight="false" outlineLevel="0" collapsed="false">
      <c r="A749" s="18" t="str">
        <f aca="false">IFERROR(MID(D749,1,FIND("|",D749)-1)&amp;"-"&amp;C749,"")</f>
        <v/>
      </c>
    </row>
    <row r="750" customFormat="false" ht="14.25" hidden="false" customHeight="false" outlineLevel="0" collapsed="false">
      <c r="A750" s="18" t="str">
        <f aca="false">IFERROR(MID(D750,1,FIND("|",D750)-1)&amp;"-"&amp;C750,"")</f>
        <v/>
      </c>
    </row>
    <row r="751" customFormat="false" ht="14.25" hidden="false" customHeight="false" outlineLevel="0" collapsed="false">
      <c r="A751" s="18" t="str">
        <f aca="false">IFERROR(MID(D751,1,FIND("|",D751)-1)&amp;"-"&amp;C751,"")</f>
        <v/>
      </c>
    </row>
    <row r="752" customFormat="false" ht="14.25" hidden="false" customHeight="false" outlineLevel="0" collapsed="false">
      <c r="A752" s="18" t="str">
        <f aca="false">IFERROR(MID(D752,1,FIND("|",D752)-1)&amp;"-"&amp;C752,"")</f>
        <v/>
      </c>
    </row>
    <row r="753" customFormat="false" ht="14.25" hidden="false" customHeight="false" outlineLevel="0" collapsed="false">
      <c r="A753" s="18" t="str">
        <f aca="false">IFERROR(MID(D753,1,FIND("|",D753)-1)&amp;"-"&amp;C753,"")</f>
        <v/>
      </c>
    </row>
    <row r="754" customFormat="false" ht="14.25" hidden="false" customHeight="false" outlineLevel="0" collapsed="false">
      <c r="A754" s="18" t="str">
        <f aca="false">IFERROR(MID(D754,1,FIND("|",D754)-1)&amp;"-"&amp;C754,"")</f>
        <v/>
      </c>
    </row>
    <row r="755" customFormat="false" ht="14.25" hidden="false" customHeight="false" outlineLevel="0" collapsed="false">
      <c r="A755" s="18" t="str">
        <f aca="false">IFERROR(MID(D755,1,FIND("|",D755)-1)&amp;"-"&amp;C755,"")</f>
        <v/>
      </c>
    </row>
    <row r="756" customFormat="false" ht="14.25" hidden="false" customHeight="false" outlineLevel="0" collapsed="false">
      <c r="A756" s="18" t="str">
        <f aca="false">IFERROR(MID(D756,1,FIND("|",D756)-1)&amp;"-"&amp;C756,"")</f>
        <v/>
      </c>
    </row>
    <row r="757" customFormat="false" ht="14.25" hidden="false" customHeight="false" outlineLevel="0" collapsed="false">
      <c r="A757" s="18" t="str">
        <f aca="false">IFERROR(MID(D757,1,FIND("|",D757)-1)&amp;"-"&amp;C757,"")</f>
        <v/>
      </c>
    </row>
    <row r="758" customFormat="false" ht="14.25" hidden="false" customHeight="false" outlineLevel="0" collapsed="false">
      <c r="A758" s="18" t="str">
        <f aca="false">IFERROR(MID(D758,1,FIND("|",D758)-1)&amp;"-"&amp;C758,"")</f>
        <v/>
      </c>
    </row>
    <row r="759" customFormat="false" ht="14.25" hidden="false" customHeight="false" outlineLevel="0" collapsed="false">
      <c r="A759" s="18" t="str">
        <f aca="false">IFERROR(MID(D759,1,FIND("|",D759)-1)&amp;"-"&amp;C759,"")</f>
        <v/>
      </c>
    </row>
    <row r="760" customFormat="false" ht="14.25" hidden="false" customHeight="false" outlineLevel="0" collapsed="false">
      <c r="A760" s="18" t="str">
        <f aca="false">IFERROR(MID(D760,1,FIND("|",D760)-1)&amp;"-"&amp;C760,"")</f>
        <v/>
      </c>
    </row>
    <row r="761" customFormat="false" ht="14.25" hidden="false" customHeight="false" outlineLevel="0" collapsed="false">
      <c r="A761" s="18" t="str">
        <f aca="false">IFERROR(MID(D761,1,FIND("|",D761)-1)&amp;"-"&amp;C761,"")</f>
        <v/>
      </c>
    </row>
    <row r="762" customFormat="false" ht="14.25" hidden="false" customHeight="false" outlineLevel="0" collapsed="false">
      <c r="A762" s="18" t="str">
        <f aca="false">IFERROR(MID(D762,1,FIND("|",D762)-1)&amp;"-"&amp;C762,"")</f>
        <v/>
      </c>
    </row>
    <row r="763" customFormat="false" ht="14.25" hidden="false" customHeight="false" outlineLevel="0" collapsed="false">
      <c r="A763" s="18" t="str">
        <f aca="false">IFERROR(MID(D763,1,FIND("|",D763)-1)&amp;"-"&amp;C763,"")</f>
        <v/>
      </c>
    </row>
    <row r="764" customFormat="false" ht="14.25" hidden="false" customHeight="false" outlineLevel="0" collapsed="false">
      <c r="A764" s="18" t="str">
        <f aca="false">IFERROR(MID(D764,1,FIND("|",D764)-1)&amp;"-"&amp;C764,"")</f>
        <v/>
      </c>
    </row>
    <row r="765" customFormat="false" ht="14.25" hidden="false" customHeight="false" outlineLevel="0" collapsed="false">
      <c r="A765" s="18" t="str">
        <f aca="false">IFERROR(MID(D765,1,FIND("|",D765)-1)&amp;"-"&amp;C765,"")</f>
        <v/>
      </c>
    </row>
    <row r="766" customFormat="false" ht="14.25" hidden="false" customHeight="false" outlineLevel="0" collapsed="false">
      <c r="A766" s="18" t="str">
        <f aca="false">IFERROR(MID(D766,1,FIND("|",D766)-1)&amp;"-"&amp;C766,"")</f>
        <v/>
      </c>
    </row>
    <row r="767" customFormat="false" ht="14.25" hidden="false" customHeight="false" outlineLevel="0" collapsed="false">
      <c r="A767" s="18" t="str">
        <f aca="false">IFERROR(MID(D767,1,FIND("|",D767)-1)&amp;"-"&amp;C767,"")</f>
        <v/>
      </c>
    </row>
    <row r="768" customFormat="false" ht="14.25" hidden="false" customHeight="false" outlineLevel="0" collapsed="false">
      <c r="A768" s="18" t="str">
        <f aca="false">IFERROR(MID(D768,1,FIND("|",D768)-1)&amp;"-"&amp;C768,"")</f>
        <v/>
      </c>
    </row>
    <row r="769" customFormat="false" ht="14.25" hidden="false" customHeight="false" outlineLevel="0" collapsed="false">
      <c r="A769" s="18" t="str">
        <f aca="false">IFERROR(MID(D769,1,FIND("|",D769)-1)&amp;"-"&amp;C769,"")</f>
        <v/>
      </c>
    </row>
    <row r="770" customFormat="false" ht="14.25" hidden="false" customHeight="false" outlineLevel="0" collapsed="false">
      <c r="A770" s="18" t="str">
        <f aca="false">IFERROR(MID(D770,1,FIND("|",D770)-1)&amp;"-"&amp;C770,"")</f>
        <v/>
      </c>
    </row>
    <row r="771" customFormat="false" ht="14.25" hidden="false" customHeight="false" outlineLevel="0" collapsed="false">
      <c r="A771" s="18" t="str">
        <f aca="false">IFERROR(MID(D771,1,FIND("|",D771)-1)&amp;"-"&amp;C771,"")</f>
        <v/>
      </c>
    </row>
    <row r="772" customFormat="false" ht="14.25" hidden="false" customHeight="false" outlineLevel="0" collapsed="false">
      <c r="A772" s="18" t="str">
        <f aca="false">IFERROR(MID(D772,1,FIND("|",D772)-1)&amp;"-"&amp;C772,"")</f>
        <v/>
      </c>
    </row>
    <row r="773" customFormat="false" ht="14.25" hidden="false" customHeight="false" outlineLevel="0" collapsed="false">
      <c r="A773" s="18" t="str">
        <f aca="false">IFERROR(MID(D773,1,FIND("|",D773)-1)&amp;"-"&amp;C773,"")</f>
        <v/>
      </c>
    </row>
    <row r="774" customFormat="false" ht="14.25" hidden="false" customHeight="false" outlineLevel="0" collapsed="false">
      <c r="A774" s="18" t="str">
        <f aca="false">IFERROR(MID(D774,1,FIND("|",D774)-1)&amp;"-"&amp;C774,"")</f>
        <v/>
      </c>
    </row>
    <row r="775" customFormat="false" ht="14.25" hidden="false" customHeight="false" outlineLevel="0" collapsed="false">
      <c r="A775" s="18" t="str">
        <f aca="false">IFERROR(MID(D775,1,FIND("|",D775)-1)&amp;"-"&amp;C775,"")</f>
        <v/>
      </c>
    </row>
    <row r="776" customFormat="false" ht="14.25" hidden="false" customHeight="false" outlineLevel="0" collapsed="false">
      <c r="A776" s="18" t="str">
        <f aca="false">IFERROR(MID(D776,1,FIND("|",D776)-1)&amp;"-"&amp;C776,"")</f>
        <v/>
      </c>
    </row>
    <row r="777" customFormat="false" ht="14.25" hidden="false" customHeight="false" outlineLevel="0" collapsed="false">
      <c r="A777" s="18" t="str">
        <f aca="false">IFERROR(MID(D777,1,FIND("|",D777)-1)&amp;"-"&amp;C777,"")</f>
        <v/>
      </c>
    </row>
    <row r="778" customFormat="false" ht="14.25" hidden="false" customHeight="false" outlineLevel="0" collapsed="false">
      <c r="A778" s="18" t="str">
        <f aca="false">IFERROR(MID(D778,1,FIND("|",D778)-1)&amp;"-"&amp;C778,"")</f>
        <v/>
      </c>
    </row>
    <row r="779" customFormat="false" ht="14.25" hidden="false" customHeight="false" outlineLevel="0" collapsed="false">
      <c r="A779" s="18" t="str">
        <f aca="false">IFERROR(MID(D779,1,FIND("|",D779)-1)&amp;"-"&amp;C779,"")</f>
        <v/>
      </c>
    </row>
    <row r="780" customFormat="false" ht="14.25" hidden="false" customHeight="false" outlineLevel="0" collapsed="false">
      <c r="A780" s="18" t="str">
        <f aca="false">IFERROR(MID(D780,1,FIND("|",D780)-1)&amp;"-"&amp;C780,"")</f>
        <v/>
      </c>
    </row>
    <row r="781" customFormat="false" ht="14.25" hidden="false" customHeight="false" outlineLevel="0" collapsed="false">
      <c r="A781" s="18" t="str">
        <f aca="false">IFERROR(MID(D781,1,FIND("|",D781)-1)&amp;"-"&amp;C781,"")</f>
        <v/>
      </c>
    </row>
    <row r="782" customFormat="false" ht="14.25" hidden="false" customHeight="false" outlineLevel="0" collapsed="false">
      <c r="A782" s="18" t="str">
        <f aca="false">IFERROR(MID(D782,1,FIND("|",D782)-1)&amp;"-"&amp;C782,"")</f>
        <v/>
      </c>
    </row>
    <row r="783" customFormat="false" ht="14.25" hidden="false" customHeight="false" outlineLevel="0" collapsed="false">
      <c r="A783" s="18" t="str">
        <f aca="false">IFERROR(MID(D783,1,FIND("|",D783)-1)&amp;"-"&amp;C783,"")</f>
        <v/>
      </c>
    </row>
    <row r="784" customFormat="false" ht="14.25" hidden="false" customHeight="false" outlineLevel="0" collapsed="false">
      <c r="A784" s="18" t="str">
        <f aca="false">IFERROR(MID(D784,1,FIND("|",D784)-1)&amp;"-"&amp;C784,"")</f>
        <v/>
      </c>
    </row>
    <row r="785" customFormat="false" ht="14.25" hidden="false" customHeight="false" outlineLevel="0" collapsed="false">
      <c r="A785" s="18" t="str">
        <f aca="false">IFERROR(MID(D785,1,FIND("|",D785)-1)&amp;"-"&amp;C785,"")</f>
        <v/>
      </c>
    </row>
    <row r="786" customFormat="false" ht="14.25" hidden="false" customHeight="false" outlineLevel="0" collapsed="false">
      <c r="A786" s="18" t="str">
        <f aca="false">IFERROR(MID(D786,1,FIND("|",D786)-1)&amp;"-"&amp;C786,"")</f>
        <v/>
      </c>
    </row>
    <row r="787" customFormat="false" ht="14.25" hidden="false" customHeight="false" outlineLevel="0" collapsed="false">
      <c r="A787" s="18" t="str">
        <f aca="false">IFERROR(MID(D787,1,FIND("|",D787)-1)&amp;"-"&amp;C787,"")</f>
        <v/>
      </c>
    </row>
    <row r="788" customFormat="false" ht="14.25" hidden="false" customHeight="false" outlineLevel="0" collapsed="false">
      <c r="A788" s="18" t="str">
        <f aca="false">IFERROR(MID(D788,1,FIND("|",D788)-1)&amp;"-"&amp;C788,"")</f>
        <v/>
      </c>
    </row>
    <row r="789" customFormat="false" ht="14.25" hidden="false" customHeight="false" outlineLevel="0" collapsed="false">
      <c r="A789" s="18" t="str">
        <f aca="false">IFERROR(MID(D789,1,FIND("|",D789)-1)&amp;"-"&amp;C789,"")</f>
        <v/>
      </c>
    </row>
    <row r="790" customFormat="false" ht="14.25" hidden="false" customHeight="false" outlineLevel="0" collapsed="false">
      <c r="A790" s="18" t="str">
        <f aca="false">IFERROR(MID(D790,1,FIND("|",D790)-1)&amp;"-"&amp;C790,"")</f>
        <v/>
      </c>
    </row>
    <row r="791" customFormat="false" ht="14.25" hidden="false" customHeight="false" outlineLevel="0" collapsed="false">
      <c r="A791" s="18" t="str">
        <f aca="false">IFERROR(MID(D791,1,FIND("|",D791)-1)&amp;"-"&amp;C791,"")</f>
        <v/>
      </c>
    </row>
    <row r="792" customFormat="false" ht="14.25" hidden="false" customHeight="false" outlineLevel="0" collapsed="false">
      <c r="A792" s="18" t="str">
        <f aca="false">IFERROR(MID(D792,1,FIND("|",D792)-1)&amp;"-"&amp;C792,"")</f>
        <v/>
      </c>
    </row>
    <row r="793" customFormat="false" ht="14.25" hidden="false" customHeight="false" outlineLevel="0" collapsed="false">
      <c r="A793" s="18" t="str">
        <f aca="false">IFERROR(MID(D793,1,FIND("|",D793)-1)&amp;"-"&amp;C793,"")</f>
        <v/>
      </c>
    </row>
    <row r="794" customFormat="false" ht="14.25" hidden="false" customHeight="false" outlineLevel="0" collapsed="false">
      <c r="A794" s="18" t="str">
        <f aca="false">IFERROR(MID(D794,1,FIND("|",D794)-1)&amp;"-"&amp;C794,"")</f>
        <v/>
      </c>
    </row>
    <row r="795" customFormat="false" ht="14.25" hidden="false" customHeight="false" outlineLevel="0" collapsed="false">
      <c r="A795" s="18" t="str">
        <f aca="false">IFERROR(MID(D795,1,FIND("|",D795)-1)&amp;"-"&amp;C795,"")</f>
        <v/>
      </c>
    </row>
    <row r="796" customFormat="false" ht="14.25" hidden="false" customHeight="false" outlineLevel="0" collapsed="false">
      <c r="A796" s="18" t="str">
        <f aca="false">IFERROR(MID(D796,1,FIND("|",D796)-1)&amp;"-"&amp;C796,"")</f>
        <v/>
      </c>
    </row>
    <row r="797" customFormat="false" ht="14.25" hidden="false" customHeight="false" outlineLevel="0" collapsed="false">
      <c r="A797" s="18" t="str">
        <f aca="false">IFERROR(MID(D797,1,FIND("|",D797)-1)&amp;"-"&amp;C797,"")</f>
        <v/>
      </c>
    </row>
    <row r="798" customFormat="false" ht="14.25" hidden="false" customHeight="false" outlineLevel="0" collapsed="false">
      <c r="A798" s="18" t="str">
        <f aca="false">IFERROR(MID(D798,1,FIND("|",D798)-1)&amp;"-"&amp;C798,"")</f>
        <v/>
      </c>
    </row>
    <row r="799" customFormat="false" ht="14.25" hidden="false" customHeight="false" outlineLevel="0" collapsed="false">
      <c r="A799" s="18" t="str">
        <f aca="false">IFERROR(MID(D799,1,FIND("|",D799)-1)&amp;"-"&amp;C799,"")</f>
        <v/>
      </c>
    </row>
    <row r="800" customFormat="false" ht="14.25" hidden="false" customHeight="false" outlineLevel="0" collapsed="false">
      <c r="A800" s="18" t="str">
        <f aca="false">IFERROR(MID(D800,1,FIND("|",D800)-1)&amp;"-"&amp;C800,"")</f>
        <v/>
      </c>
    </row>
    <row r="801" customFormat="false" ht="14.25" hidden="false" customHeight="false" outlineLevel="0" collapsed="false">
      <c r="A801" s="18" t="str">
        <f aca="false">IFERROR(MID(D801,1,FIND("|",D801)-1)&amp;"-"&amp;C801,"")</f>
        <v/>
      </c>
    </row>
    <row r="802" customFormat="false" ht="14.25" hidden="false" customHeight="false" outlineLevel="0" collapsed="false">
      <c r="A802" s="18" t="str">
        <f aca="false">IFERROR(MID(D802,1,FIND("|",D802)-1)&amp;"-"&amp;C802,"")</f>
        <v/>
      </c>
    </row>
    <row r="803" customFormat="false" ht="14.25" hidden="false" customHeight="false" outlineLevel="0" collapsed="false">
      <c r="A803" s="18" t="str">
        <f aca="false">IFERROR(MID(D803,1,FIND("|",D803)-1)&amp;"-"&amp;C803,"")</f>
        <v/>
      </c>
    </row>
    <row r="804" customFormat="false" ht="14.25" hidden="false" customHeight="false" outlineLevel="0" collapsed="false">
      <c r="A804" s="18" t="str">
        <f aca="false">IFERROR(MID(D804,1,FIND("|",D804)-1)&amp;"-"&amp;C804,"")</f>
        <v/>
      </c>
    </row>
    <row r="805" customFormat="false" ht="14.25" hidden="false" customHeight="false" outlineLevel="0" collapsed="false">
      <c r="A805" s="18" t="str">
        <f aca="false">IFERROR(MID(D805,1,FIND("|",D805)-1)&amp;"-"&amp;C805,"")</f>
        <v/>
      </c>
    </row>
    <row r="806" customFormat="false" ht="14.25" hidden="false" customHeight="false" outlineLevel="0" collapsed="false">
      <c r="A806" s="18" t="str">
        <f aca="false">IFERROR(MID(D806,1,FIND("|",D806)-1)&amp;"-"&amp;C806,"")</f>
        <v/>
      </c>
    </row>
    <row r="807" customFormat="false" ht="14.25" hidden="false" customHeight="false" outlineLevel="0" collapsed="false">
      <c r="A807" s="18" t="str">
        <f aca="false">IFERROR(MID(D807,1,FIND("|",D807)-1)&amp;"-"&amp;C807,"")</f>
        <v/>
      </c>
    </row>
    <row r="808" customFormat="false" ht="14.25" hidden="false" customHeight="false" outlineLevel="0" collapsed="false">
      <c r="A808" s="18" t="str">
        <f aca="false">IFERROR(MID(D808,1,FIND("|",D808)-1)&amp;"-"&amp;C808,"")</f>
        <v/>
      </c>
    </row>
    <row r="809" customFormat="false" ht="14.25" hidden="false" customHeight="false" outlineLevel="0" collapsed="false">
      <c r="A809" s="18" t="str">
        <f aca="false">IFERROR(MID(D809,1,FIND("|",D809)-1)&amp;"-"&amp;C809,"")</f>
        <v/>
      </c>
    </row>
    <row r="810" customFormat="false" ht="14.25" hidden="false" customHeight="false" outlineLevel="0" collapsed="false">
      <c r="A810" s="18" t="str">
        <f aca="false">IFERROR(MID(D810,1,FIND("|",D810)-1)&amp;"-"&amp;C810,"")</f>
        <v/>
      </c>
    </row>
    <row r="811" customFormat="false" ht="14.25" hidden="false" customHeight="false" outlineLevel="0" collapsed="false">
      <c r="A811" s="18" t="str">
        <f aca="false">IFERROR(MID(D811,1,FIND("|",D811)-1)&amp;"-"&amp;C811,"")</f>
        <v/>
      </c>
    </row>
    <row r="812" customFormat="false" ht="14.25" hidden="false" customHeight="false" outlineLevel="0" collapsed="false">
      <c r="A812" s="18" t="str">
        <f aca="false">IFERROR(MID(D812,1,FIND("|",D812)-1)&amp;"-"&amp;C812,"")</f>
        <v/>
      </c>
    </row>
    <row r="813" customFormat="false" ht="14.25" hidden="false" customHeight="false" outlineLevel="0" collapsed="false">
      <c r="A813" s="18" t="str">
        <f aca="false">IFERROR(MID(D813,1,FIND("|",D813)-1)&amp;"-"&amp;C813,"")</f>
        <v/>
      </c>
    </row>
    <row r="814" customFormat="false" ht="14.25" hidden="false" customHeight="false" outlineLevel="0" collapsed="false">
      <c r="A814" s="18" t="str">
        <f aca="false">IFERROR(MID(D814,1,FIND("|",D814)-1)&amp;"-"&amp;C814,"")</f>
        <v/>
      </c>
    </row>
    <row r="815" customFormat="false" ht="14.25" hidden="false" customHeight="false" outlineLevel="0" collapsed="false">
      <c r="A815" s="18" t="str">
        <f aca="false">IFERROR(MID(D815,1,FIND("|",D815)-1)&amp;"-"&amp;C815,"")</f>
        <v/>
      </c>
    </row>
    <row r="816" customFormat="false" ht="14.25" hidden="false" customHeight="false" outlineLevel="0" collapsed="false">
      <c r="A816" s="18" t="str">
        <f aca="false">IFERROR(MID(D816,1,FIND("|",D816)-1)&amp;"-"&amp;C816,"")</f>
        <v/>
      </c>
    </row>
    <row r="817" customFormat="false" ht="14.25" hidden="false" customHeight="false" outlineLevel="0" collapsed="false">
      <c r="A817" s="18" t="str">
        <f aca="false">IFERROR(MID(D817,1,FIND("|",D817)-1)&amp;"-"&amp;C817,"")</f>
        <v/>
      </c>
    </row>
    <row r="818" customFormat="false" ht="14.25" hidden="false" customHeight="false" outlineLevel="0" collapsed="false">
      <c r="A818" s="18" t="str">
        <f aca="false">IFERROR(MID(D818,1,FIND("|",D818)-1)&amp;"-"&amp;C818,"")</f>
        <v/>
      </c>
    </row>
    <row r="819" customFormat="false" ht="14.25" hidden="false" customHeight="false" outlineLevel="0" collapsed="false">
      <c r="A819" s="18" t="str">
        <f aca="false">IFERROR(MID(D819,1,FIND("|",D819)-1)&amp;"-"&amp;C819,"")</f>
        <v/>
      </c>
    </row>
    <row r="820" customFormat="false" ht="14.25" hidden="false" customHeight="false" outlineLevel="0" collapsed="false">
      <c r="A820" s="18" t="str">
        <f aca="false">IFERROR(MID(D820,1,FIND("|",D820)-1)&amp;"-"&amp;C820,"")</f>
        <v/>
      </c>
    </row>
    <row r="821" customFormat="false" ht="14.25" hidden="false" customHeight="false" outlineLevel="0" collapsed="false">
      <c r="A821" s="18" t="str">
        <f aca="false">IFERROR(MID(D821,1,FIND("|",D821)-1)&amp;"-"&amp;C821,"")</f>
        <v/>
      </c>
    </row>
    <row r="822" customFormat="false" ht="14.25" hidden="false" customHeight="false" outlineLevel="0" collapsed="false">
      <c r="A822" s="18" t="str">
        <f aca="false">IFERROR(MID(D822,1,FIND("|",D822)-1)&amp;"-"&amp;C822,"")</f>
        <v/>
      </c>
    </row>
    <row r="823" customFormat="false" ht="14.25" hidden="false" customHeight="false" outlineLevel="0" collapsed="false">
      <c r="A823" s="18" t="str">
        <f aca="false">IFERROR(MID(D823,1,FIND("|",D823)-1)&amp;"-"&amp;C823,"")</f>
        <v/>
      </c>
    </row>
    <row r="824" customFormat="false" ht="14.25" hidden="false" customHeight="false" outlineLevel="0" collapsed="false">
      <c r="A824" s="18" t="str">
        <f aca="false">IFERROR(MID(D824,1,FIND("|",D824)-1)&amp;"-"&amp;C824,"")</f>
        <v/>
      </c>
    </row>
    <row r="825" customFormat="false" ht="14.25" hidden="false" customHeight="false" outlineLevel="0" collapsed="false">
      <c r="A825" s="18" t="str">
        <f aca="false">IFERROR(MID(D825,1,FIND("|",D825)-1)&amp;"-"&amp;C825,"")</f>
        <v/>
      </c>
    </row>
    <row r="826" customFormat="false" ht="14.25" hidden="false" customHeight="false" outlineLevel="0" collapsed="false">
      <c r="A826" s="18" t="str">
        <f aca="false">IFERROR(MID(D826,1,FIND("|",D826)-1)&amp;"-"&amp;C826,"")</f>
        <v/>
      </c>
    </row>
    <row r="827" customFormat="false" ht="14.25" hidden="false" customHeight="false" outlineLevel="0" collapsed="false">
      <c r="A827" s="18" t="str">
        <f aca="false">IFERROR(MID(D827,1,FIND("|",D827)-1)&amp;"-"&amp;C827,"")</f>
        <v/>
      </c>
    </row>
    <row r="828" customFormat="false" ht="14.25" hidden="false" customHeight="false" outlineLevel="0" collapsed="false">
      <c r="A828" s="18" t="str">
        <f aca="false">IFERROR(MID(D828,1,FIND("|",D828)-1)&amp;"-"&amp;C828,"")</f>
        <v/>
      </c>
    </row>
    <row r="829" customFormat="false" ht="14.25" hidden="false" customHeight="false" outlineLevel="0" collapsed="false">
      <c r="A829" s="18" t="str">
        <f aca="false">IFERROR(MID(D829,1,FIND("|",D829)-1)&amp;"-"&amp;C829,"")</f>
        <v/>
      </c>
    </row>
    <row r="830" customFormat="false" ht="14.25" hidden="false" customHeight="false" outlineLevel="0" collapsed="false">
      <c r="A830" s="18" t="str">
        <f aca="false">IFERROR(MID(D830,1,FIND("|",D830)-1)&amp;"-"&amp;C830,"")</f>
        <v/>
      </c>
    </row>
    <row r="831" customFormat="false" ht="14.25" hidden="false" customHeight="false" outlineLevel="0" collapsed="false">
      <c r="A831" s="18" t="str">
        <f aca="false">IFERROR(MID(D831,1,FIND("|",D831)-1)&amp;"-"&amp;C831,"")</f>
        <v/>
      </c>
    </row>
    <row r="832" customFormat="false" ht="14.25" hidden="false" customHeight="false" outlineLevel="0" collapsed="false">
      <c r="A832" s="18" t="str">
        <f aca="false">IFERROR(MID(D832,1,FIND("|",D832)-1)&amp;"-"&amp;C832,"")</f>
        <v/>
      </c>
    </row>
    <row r="833" customFormat="false" ht="14.25" hidden="false" customHeight="false" outlineLevel="0" collapsed="false">
      <c r="A833" s="18" t="str">
        <f aca="false">IFERROR(MID(D833,1,FIND("|",D833)-1)&amp;"-"&amp;C833,"")</f>
        <v/>
      </c>
    </row>
    <row r="834" customFormat="false" ht="14.25" hidden="false" customHeight="false" outlineLevel="0" collapsed="false">
      <c r="A834" s="18" t="str">
        <f aca="false">IFERROR(MID(D834,1,FIND("|",D834)-1)&amp;"-"&amp;C834,"")</f>
        <v/>
      </c>
    </row>
    <row r="835" customFormat="false" ht="14.25" hidden="false" customHeight="false" outlineLevel="0" collapsed="false">
      <c r="A835" s="18" t="str">
        <f aca="false">IFERROR(MID(D835,1,FIND("|",D835)-1)&amp;"-"&amp;C835,"")</f>
        <v/>
      </c>
    </row>
    <row r="836" customFormat="false" ht="14.25" hidden="false" customHeight="false" outlineLevel="0" collapsed="false">
      <c r="A836" s="18" t="str">
        <f aca="false">IFERROR(MID(D836,1,FIND("|",D836)-1)&amp;"-"&amp;C836,"")</f>
        <v/>
      </c>
    </row>
    <row r="837" customFormat="false" ht="14.25" hidden="false" customHeight="false" outlineLevel="0" collapsed="false">
      <c r="A837" s="18" t="str">
        <f aca="false">IFERROR(MID(D837,1,FIND("|",D837)-1)&amp;"-"&amp;C837,"")</f>
        <v/>
      </c>
    </row>
    <row r="838" customFormat="false" ht="14.25" hidden="false" customHeight="false" outlineLevel="0" collapsed="false">
      <c r="A838" s="18" t="str">
        <f aca="false">IFERROR(MID(D838,1,FIND("|",D838)-1)&amp;"-"&amp;C838,"")</f>
        <v/>
      </c>
    </row>
    <row r="839" customFormat="false" ht="14.25" hidden="false" customHeight="false" outlineLevel="0" collapsed="false">
      <c r="A839" s="18" t="str">
        <f aca="false">IFERROR(MID(D839,1,FIND("|",D839)-1)&amp;"-"&amp;C839,"")</f>
        <v/>
      </c>
    </row>
    <row r="840" customFormat="false" ht="14.25" hidden="false" customHeight="false" outlineLevel="0" collapsed="false">
      <c r="A840" s="18" t="str">
        <f aca="false">IFERROR(MID(D840,1,FIND("|",D840)-1)&amp;"-"&amp;C840,"")</f>
        <v/>
      </c>
    </row>
    <row r="841" customFormat="false" ht="14.25" hidden="false" customHeight="false" outlineLevel="0" collapsed="false">
      <c r="A841" s="18" t="str">
        <f aca="false">IFERROR(MID(D841,1,FIND("|",D841)-1)&amp;"-"&amp;C841,"")</f>
        <v/>
      </c>
    </row>
    <row r="842" customFormat="false" ht="14.25" hidden="false" customHeight="false" outlineLevel="0" collapsed="false">
      <c r="A842" s="18" t="str">
        <f aca="false">IFERROR(MID(D842,1,FIND("|",D842)-1)&amp;"-"&amp;C842,"")</f>
        <v/>
      </c>
    </row>
    <row r="843" customFormat="false" ht="14.25" hidden="false" customHeight="false" outlineLevel="0" collapsed="false">
      <c r="A843" s="18" t="str">
        <f aca="false">IFERROR(MID(D843,1,FIND("|",D843)-1)&amp;"-"&amp;C843,"")</f>
        <v/>
      </c>
    </row>
    <row r="844" customFormat="false" ht="14.25" hidden="false" customHeight="false" outlineLevel="0" collapsed="false">
      <c r="A844" s="18" t="str">
        <f aca="false">IFERROR(MID(D844,1,FIND("|",D844)-1)&amp;"-"&amp;C844,"")</f>
        <v/>
      </c>
    </row>
    <row r="845" customFormat="false" ht="14.25" hidden="false" customHeight="false" outlineLevel="0" collapsed="false">
      <c r="A845" s="18" t="str">
        <f aca="false">IFERROR(MID(D845,1,FIND("|",D845)-1)&amp;"-"&amp;C845,"")</f>
        <v/>
      </c>
    </row>
    <row r="846" customFormat="false" ht="14.25" hidden="false" customHeight="false" outlineLevel="0" collapsed="false">
      <c r="A846" s="18" t="str">
        <f aca="false">IFERROR(MID(D846,1,FIND("|",D846)-1)&amp;"-"&amp;C846,"")</f>
        <v/>
      </c>
    </row>
    <row r="847" customFormat="false" ht="14.25" hidden="false" customHeight="false" outlineLevel="0" collapsed="false">
      <c r="A847" s="18" t="str">
        <f aca="false">IFERROR(MID(D847,1,FIND("|",D847)-1)&amp;"-"&amp;C847,"")</f>
        <v/>
      </c>
    </row>
    <row r="848" customFormat="false" ht="14.25" hidden="false" customHeight="false" outlineLevel="0" collapsed="false">
      <c r="A848" s="18" t="str">
        <f aca="false">IFERROR(MID(D848,1,FIND("|",D848)-1)&amp;"-"&amp;C848,"")</f>
        <v/>
      </c>
    </row>
    <row r="849" customFormat="false" ht="14.25" hidden="false" customHeight="false" outlineLevel="0" collapsed="false">
      <c r="A849" s="18" t="str">
        <f aca="false">IFERROR(MID(D849,1,FIND("|",D849)-1)&amp;"-"&amp;C849,"")</f>
        <v/>
      </c>
    </row>
    <row r="850" customFormat="false" ht="14.25" hidden="false" customHeight="false" outlineLevel="0" collapsed="false">
      <c r="A850" s="18" t="str">
        <f aca="false">IFERROR(MID(D850,1,FIND("|",D850)-1)&amp;"-"&amp;C850,"")</f>
        <v/>
      </c>
    </row>
    <row r="851" customFormat="false" ht="14.25" hidden="false" customHeight="false" outlineLevel="0" collapsed="false">
      <c r="A851" s="18" t="str">
        <f aca="false">IFERROR(MID(D851,1,FIND("|",D851)-1)&amp;"-"&amp;C851,"")</f>
        <v/>
      </c>
    </row>
    <row r="852" customFormat="false" ht="14.25" hidden="false" customHeight="false" outlineLevel="0" collapsed="false">
      <c r="A852" s="18" t="str">
        <f aca="false">IFERROR(MID(D852,1,FIND("|",D852)-1)&amp;"-"&amp;C852,"")</f>
        <v/>
      </c>
    </row>
    <row r="853" customFormat="false" ht="14.25" hidden="false" customHeight="false" outlineLevel="0" collapsed="false">
      <c r="A853" s="18" t="str">
        <f aca="false">IFERROR(MID(D853,1,FIND("|",D853)-1)&amp;"-"&amp;C853,"")</f>
        <v/>
      </c>
    </row>
    <row r="854" customFormat="false" ht="14.25" hidden="false" customHeight="false" outlineLevel="0" collapsed="false">
      <c r="A854" s="18" t="str">
        <f aca="false">IFERROR(MID(D854,1,FIND("|",D854)-1)&amp;"-"&amp;C854,"")</f>
        <v/>
      </c>
    </row>
    <row r="855" customFormat="false" ht="14.25" hidden="false" customHeight="false" outlineLevel="0" collapsed="false">
      <c r="A855" s="18" t="str">
        <f aca="false">IFERROR(MID(D855,1,FIND("|",D855)-1)&amp;"-"&amp;C855,"")</f>
        <v/>
      </c>
    </row>
    <row r="856" customFormat="false" ht="14.25" hidden="false" customHeight="false" outlineLevel="0" collapsed="false">
      <c r="A856" s="18" t="str">
        <f aca="false">IFERROR(MID(D856,1,FIND("|",D856)-1)&amp;"-"&amp;C856,"")</f>
        <v/>
      </c>
    </row>
    <row r="857" customFormat="false" ht="14.25" hidden="false" customHeight="false" outlineLevel="0" collapsed="false">
      <c r="A857" s="18" t="str">
        <f aca="false">IFERROR(MID(D857,1,FIND("|",D857)-1)&amp;"-"&amp;C857,"")</f>
        <v/>
      </c>
    </row>
    <row r="858" customFormat="false" ht="14.25" hidden="false" customHeight="false" outlineLevel="0" collapsed="false">
      <c r="A858" s="18" t="str">
        <f aca="false">IFERROR(MID(D858,1,FIND("|",D858)-1)&amp;"-"&amp;C858,"")</f>
        <v/>
      </c>
    </row>
    <row r="859" customFormat="false" ht="14.25" hidden="false" customHeight="false" outlineLevel="0" collapsed="false">
      <c r="A859" s="18" t="str">
        <f aca="false">IFERROR(MID(D859,1,FIND("|",D859)-1)&amp;"-"&amp;C859,"")</f>
        <v/>
      </c>
    </row>
    <row r="860" customFormat="false" ht="14.25" hidden="false" customHeight="false" outlineLevel="0" collapsed="false">
      <c r="A860" s="18" t="str">
        <f aca="false">IFERROR(MID(D860,1,FIND("|",D860)-1)&amp;"-"&amp;C860,"")</f>
        <v/>
      </c>
    </row>
    <row r="861" customFormat="false" ht="14.25" hidden="false" customHeight="false" outlineLevel="0" collapsed="false">
      <c r="A861" s="18" t="str">
        <f aca="false">IFERROR(MID(D861,1,FIND("|",D861)-1)&amp;"-"&amp;C861,"")</f>
        <v/>
      </c>
    </row>
    <row r="862" customFormat="false" ht="14.25" hidden="false" customHeight="false" outlineLevel="0" collapsed="false">
      <c r="A862" s="18" t="str">
        <f aca="false">IFERROR(MID(D862,1,FIND("|",D862)-1)&amp;"-"&amp;C862,"")</f>
        <v/>
      </c>
    </row>
    <row r="863" customFormat="false" ht="14.25" hidden="false" customHeight="false" outlineLevel="0" collapsed="false">
      <c r="A863" s="18" t="str">
        <f aca="false">IFERROR(MID(D863,1,FIND("|",D863)-1)&amp;"-"&amp;C863,"")</f>
        <v/>
      </c>
    </row>
    <row r="864" customFormat="false" ht="14.25" hidden="false" customHeight="false" outlineLevel="0" collapsed="false">
      <c r="A864" s="18" t="str">
        <f aca="false">IFERROR(MID(D864,1,FIND("|",D864)-1)&amp;"-"&amp;C864,"")</f>
        <v/>
      </c>
    </row>
    <row r="865" customFormat="false" ht="14.25" hidden="false" customHeight="false" outlineLevel="0" collapsed="false">
      <c r="A865" s="18" t="str">
        <f aca="false">IFERROR(MID(D865,1,FIND("|",D865)-1)&amp;"-"&amp;C865,"")</f>
        <v/>
      </c>
    </row>
    <row r="866" customFormat="false" ht="14.25" hidden="false" customHeight="false" outlineLevel="0" collapsed="false">
      <c r="A866" s="18" t="str">
        <f aca="false">IFERROR(MID(D866,1,FIND("|",D866)-1)&amp;"-"&amp;C866,"")</f>
        <v/>
      </c>
    </row>
    <row r="867" customFormat="false" ht="14.25" hidden="false" customHeight="false" outlineLevel="0" collapsed="false">
      <c r="A867" s="18" t="str">
        <f aca="false">IFERROR(MID(D867,1,FIND("|",D867)-1)&amp;"-"&amp;C867,"")</f>
        <v/>
      </c>
    </row>
    <row r="868" customFormat="false" ht="14.25" hidden="false" customHeight="false" outlineLevel="0" collapsed="false">
      <c r="A868" s="18" t="str">
        <f aca="false">IFERROR(MID(D868,1,FIND("|",D868)-1)&amp;"-"&amp;C868,"")</f>
        <v/>
      </c>
    </row>
    <row r="869" customFormat="false" ht="14.25" hidden="false" customHeight="false" outlineLevel="0" collapsed="false">
      <c r="A869" s="18" t="str">
        <f aca="false">IFERROR(MID(D869,1,FIND("|",D869)-1)&amp;"-"&amp;C869,"")</f>
        <v/>
      </c>
    </row>
    <row r="870" customFormat="false" ht="14.25" hidden="false" customHeight="false" outlineLevel="0" collapsed="false">
      <c r="A870" s="18" t="str">
        <f aca="false">IFERROR(MID(D870,1,FIND("|",D870)-1)&amp;"-"&amp;C870,"")</f>
        <v/>
      </c>
    </row>
    <row r="871" customFormat="false" ht="14.25" hidden="false" customHeight="false" outlineLevel="0" collapsed="false">
      <c r="A871" s="18" t="str">
        <f aca="false">IFERROR(MID(D871,1,FIND("|",D871)-1)&amp;"-"&amp;C871,"")</f>
        <v/>
      </c>
    </row>
    <row r="872" customFormat="false" ht="14.25" hidden="false" customHeight="false" outlineLevel="0" collapsed="false">
      <c r="A872" s="18" t="str">
        <f aca="false">IFERROR(MID(D872,1,FIND("|",D872)-1)&amp;"-"&amp;C872,"")</f>
        <v/>
      </c>
    </row>
    <row r="873" customFormat="false" ht="14.25" hidden="false" customHeight="false" outlineLevel="0" collapsed="false">
      <c r="A873" s="18" t="str">
        <f aca="false">IFERROR(MID(D873,1,FIND("|",D873)-1)&amp;"-"&amp;C873,"")</f>
        <v/>
      </c>
    </row>
    <row r="874" customFormat="false" ht="14.25" hidden="false" customHeight="false" outlineLevel="0" collapsed="false">
      <c r="A874" s="18" t="str">
        <f aca="false">IFERROR(MID(D874,1,FIND("|",D874)-1)&amp;"-"&amp;C874,"")</f>
        <v/>
      </c>
    </row>
    <row r="875" customFormat="false" ht="14.25" hidden="false" customHeight="false" outlineLevel="0" collapsed="false">
      <c r="A875" s="18" t="str">
        <f aca="false">IFERROR(MID(D875,1,FIND("|",D875)-1)&amp;"-"&amp;C875,"")</f>
        <v/>
      </c>
    </row>
    <row r="876" customFormat="false" ht="14.25" hidden="false" customHeight="false" outlineLevel="0" collapsed="false">
      <c r="A876" s="18" t="str">
        <f aca="false">IFERROR(MID(D876,1,FIND("|",D876)-1)&amp;"-"&amp;C876,"")</f>
        <v/>
      </c>
    </row>
    <row r="877" customFormat="false" ht="14.25" hidden="false" customHeight="false" outlineLevel="0" collapsed="false">
      <c r="A877" s="18" t="str">
        <f aca="false">IFERROR(MID(D877,1,FIND("|",D877)-1)&amp;"-"&amp;C877,"")</f>
        <v/>
      </c>
    </row>
    <row r="878" customFormat="false" ht="14.25" hidden="false" customHeight="false" outlineLevel="0" collapsed="false">
      <c r="A878" s="18" t="str">
        <f aca="false">IFERROR(MID(D878,1,FIND("|",D878)-1)&amp;"-"&amp;C878,"")</f>
        <v/>
      </c>
    </row>
    <row r="879" customFormat="false" ht="14.25" hidden="false" customHeight="false" outlineLevel="0" collapsed="false">
      <c r="A879" s="18" t="str">
        <f aca="false">IFERROR(MID(D879,1,FIND("|",D879)-1)&amp;"-"&amp;C879,"")</f>
        <v/>
      </c>
    </row>
    <row r="880" customFormat="false" ht="14.25" hidden="false" customHeight="false" outlineLevel="0" collapsed="false">
      <c r="A880" s="18" t="str">
        <f aca="false">IFERROR(MID(D880,1,FIND("|",D880)-1)&amp;"-"&amp;C880,"")</f>
        <v/>
      </c>
    </row>
    <row r="881" customFormat="false" ht="14.25" hidden="false" customHeight="false" outlineLevel="0" collapsed="false">
      <c r="A881" s="18" t="str">
        <f aca="false">IFERROR(MID(D881,1,FIND("|",D881)-1)&amp;"-"&amp;C881,"")</f>
        <v/>
      </c>
    </row>
    <row r="882" customFormat="false" ht="14.25" hidden="false" customHeight="false" outlineLevel="0" collapsed="false">
      <c r="A882" s="18" t="str">
        <f aca="false">IFERROR(MID(D882,1,FIND("|",D882)-1)&amp;"-"&amp;C882,"")</f>
        <v/>
      </c>
    </row>
    <row r="883" customFormat="false" ht="14.25" hidden="false" customHeight="false" outlineLevel="0" collapsed="false">
      <c r="A883" s="18" t="str">
        <f aca="false">IFERROR(MID(D883,1,FIND("|",D883)-1)&amp;"-"&amp;C883,"")</f>
        <v/>
      </c>
    </row>
    <row r="884" customFormat="false" ht="14.25" hidden="false" customHeight="false" outlineLevel="0" collapsed="false">
      <c r="A884" s="18" t="str">
        <f aca="false">IFERROR(MID(D884,1,FIND("|",D884)-1)&amp;"-"&amp;C884,"")</f>
        <v/>
      </c>
    </row>
    <row r="885" customFormat="false" ht="14.25" hidden="false" customHeight="false" outlineLevel="0" collapsed="false">
      <c r="A885" s="18" t="str">
        <f aca="false">IFERROR(MID(D885,1,FIND("|",D885)-1)&amp;"-"&amp;C885,"")</f>
        <v/>
      </c>
    </row>
    <row r="886" customFormat="false" ht="14.25" hidden="false" customHeight="false" outlineLevel="0" collapsed="false">
      <c r="A886" s="18" t="str">
        <f aca="false">IFERROR(MID(D886,1,FIND("|",D886)-1)&amp;"-"&amp;C886,"")</f>
        <v/>
      </c>
    </row>
    <row r="887" customFormat="false" ht="14.25" hidden="false" customHeight="false" outlineLevel="0" collapsed="false">
      <c r="A887" s="18" t="str">
        <f aca="false">IFERROR(MID(D887,1,FIND("|",D887)-1)&amp;"-"&amp;C887,"")</f>
        <v/>
      </c>
    </row>
    <row r="888" customFormat="false" ht="14.25" hidden="false" customHeight="false" outlineLevel="0" collapsed="false">
      <c r="A888" s="18" t="str">
        <f aca="false">IFERROR(MID(D888,1,FIND("|",D888)-1)&amp;"-"&amp;C888,"")</f>
        <v/>
      </c>
    </row>
    <row r="889" customFormat="false" ht="14.25" hidden="false" customHeight="false" outlineLevel="0" collapsed="false">
      <c r="A889" s="18" t="str">
        <f aca="false">IFERROR(MID(D889,1,FIND("|",D889)-1)&amp;"-"&amp;C889,"")</f>
        <v/>
      </c>
    </row>
    <row r="890" customFormat="false" ht="14.25" hidden="false" customHeight="false" outlineLevel="0" collapsed="false">
      <c r="A890" s="18" t="str">
        <f aca="false">IFERROR(MID(D890,1,FIND("|",D890)-1)&amp;"-"&amp;C890,"")</f>
        <v/>
      </c>
    </row>
    <row r="891" customFormat="false" ht="14.25" hidden="false" customHeight="false" outlineLevel="0" collapsed="false">
      <c r="A891" s="18" t="str">
        <f aca="false">IFERROR(MID(D891,1,FIND("|",D891)-1)&amp;"-"&amp;C891,"")</f>
        <v/>
      </c>
    </row>
    <row r="892" customFormat="false" ht="14.25" hidden="false" customHeight="false" outlineLevel="0" collapsed="false">
      <c r="A892" s="18" t="str">
        <f aca="false">IFERROR(MID(D892,1,FIND("|",D892)-1)&amp;"-"&amp;C892,"")</f>
        <v/>
      </c>
    </row>
    <row r="893" customFormat="false" ht="14.25" hidden="false" customHeight="false" outlineLevel="0" collapsed="false">
      <c r="A893" s="18" t="str">
        <f aca="false">IFERROR(MID(D893,1,FIND("|",D893)-1)&amp;"-"&amp;C893,"")</f>
        <v/>
      </c>
    </row>
    <row r="894" customFormat="false" ht="14.25" hidden="false" customHeight="false" outlineLevel="0" collapsed="false">
      <c r="A894" s="18" t="str">
        <f aca="false">IFERROR(MID(D894,1,FIND("|",D894)-1)&amp;"-"&amp;C894,"")</f>
        <v/>
      </c>
    </row>
    <row r="895" customFormat="false" ht="14.25" hidden="false" customHeight="false" outlineLevel="0" collapsed="false">
      <c r="A895" s="18" t="str">
        <f aca="false">IFERROR(MID(D895,1,FIND("|",D895)-1)&amp;"-"&amp;C895,"")</f>
        <v/>
      </c>
    </row>
    <row r="896" customFormat="false" ht="14.25" hidden="false" customHeight="false" outlineLevel="0" collapsed="false">
      <c r="A896" s="18" t="str">
        <f aca="false">IFERROR(MID(D896,1,FIND("|",D896)-1)&amp;"-"&amp;C896,"")</f>
        <v/>
      </c>
    </row>
    <row r="897" customFormat="false" ht="14.25" hidden="false" customHeight="false" outlineLevel="0" collapsed="false">
      <c r="A897" s="18" t="str">
        <f aca="false">IFERROR(MID(D897,1,FIND("|",D897)-1)&amp;"-"&amp;C897,"")</f>
        <v/>
      </c>
    </row>
    <row r="898" customFormat="false" ht="14.25" hidden="false" customHeight="false" outlineLevel="0" collapsed="false">
      <c r="A898" s="18" t="str">
        <f aca="false">IFERROR(MID(D898,1,FIND("|",D898)-1)&amp;"-"&amp;C898,"")</f>
        <v/>
      </c>
    </row>
    <row r="899" customFormat="false" ht="14.25" hidden="false" customHeight="false" outlineLevel="0" collapsed="false">
      <c r="A899" s="18" t="str">
        <f aca="false">IFERROR(MID(D899,1,FIND("|",D899)-1)&amp;"-"&amp;C899,"")</f>
        <v/>
      </c>
    </row>
    <row r="900" customFormat="false" ht="14.25" hidden="false" customHeight="false" outlineLevel="0" collapsed="false">
      <c r="A900" s="18" t="str">
        <f aca="false">IFERROR(MID(D900,1,FIND("|",D900)-1)&amp;"-"&amp;C900,"")</f>
        <v/>
      </c>
    </row>
    <row r="901" customFormat="false" ht="14.25" hidden="false" customHeight="false" outlineLevel="0" collapsed="false">
      <c r="A901" s="18" t="str">
        <f aca="false">IFERROR(MID(D901,1,FIND("|",D901)-1)&amp;"-"&amp;C901,"")</f>
        <v/>
      </c>
    </row>
    <row r="902" customFormat="false" ht="14.25" hidden="false" customHeight="false" outlineLevel="0" collapsed="false">
      <c r="A902" s="18" t="str">
        <f aca="false">IFERROR(MID(D902,1,FIND("|",D902)-1)&amp;"-"&amp;C902,"")</f>
        <v/>
      </c>
    </row>
    <row r="903" customFormat="false" ht="14.25" hidden="false" customHeight="false" outlineLevel="0" collapsed="false">
      <c r="A903" s="18" t="str">
        <f aca="false">IFERROR(MID(D903,1,FIND("|",D903)-1)&amp;"-"&amp;C903,"")</f>
        <v/>
      </c>
    </row>
    <row r="904" customFormat="false" ht="14.25" hidden="false" customHeight="false" outlineLevel="0" collapsed="false">
      <c r="A904" s="18" t="str">
        <f aca="false">IFERROR(MID(D904,1,FIND("|",D904)-1)&amp;"-"&amp;C904,"")</f>
        <v/>
      </c>
    </row>
    <row r="905" customFormat="false" ht="14.25" hidden="false" customHeight="false" outlineLevel="0" collapsed="false">
      <c r="A905" s="18" t="str">
        <f aca="false">IFERROR(MID(D905,1,FIND("|",D905)-1)&amp;"-"&amp;C905,"")</f>
        <v/>
      </c>
    </row>
    <row r="906" customFormat="false" ht="14.25" hidden="false" customHeight="false" outlineLevel="0" collapsed="false">
      <c r="A906" s="18" t="str">
        <f aca="false">IFERROR(MID(D906,1,FIND("|",D906)-1)&amp;"-"&amp;C906,"")</f>
        <v/>
      </c>
    </row>
    <row r="907" customFormat="false" ht="14.25" hidden="false" customHeight="false" outlineLevel="0" collapsed="false">
      <c r="A907" s="18" t="str">
        <f aca="false">IFERROR(MID(D907,1,FIND("|",D907)-1)&amp;"-"&amp;C907,"")</f>
        <v/>
      </c>
    </row>
    <row r="908" customFormat="false" ht="14.25" hidden="false" customHeight="false" outlineLevel="0" collapsed="false">
      <c r="A908" s="18" t="str">
        <f aca="false">IFERROR(MID(D908,1,FIND("|",D908)-1)&amp;"-"&amp;C908,"")</f>
        <v/>
      </c>
    </row>
    <row r="909" customFormat="false" ht="14.25" hidden="false" customHeight="false" outlineLevel="0" collapsed="false">
      <c r="A909" s="18" t="str">
        <f aca="false">IFERROR(MID(D909,1,FIND("|",D909)-1)&amp;"-"&amp;C909,"")</f>
        <v/>
      </c>
    </row>
    <row r="910" customFormat="false" ht="14.25" hidden="false" customHeight="false" outlineLevel="0" collapsed="false">
      <c r="A910" s="18" t="str">
        <f aca="false">IFERROR(MID(D910,1,FIND("|",D910)-1)&amp;"-"&amp;C910,"")</f>
        <v/>
      </c>
    </row>
    <row r="911" customFormat="false" ht="14.25" hidden="false" customHeight="false" outlineLevel="0" collapsed="false">
      <c r="A911" s="18" t="str">
        <f aca="false">IFERROR(MID(D911,1,FIND("|",D911)-1)&amp;"-"&amp;C911,"")</f>
        <v/>
      </c>
    </row>
    <row r="912" customFormat="false" ht="14.25" hidden="false" customHeight="false" outlineLevel="0" collapsed="false">
      <c r="A912" s="18" t="str">
        <f aca="false">IFERROR(MID(D912,1,FIND("|",D912)-1)&amp;"-"&amp;C912,"")</f>
        <v/>
      </c>
    </row>
    <row r="913" customFormat="false" ht="14.25" hidden="false" customHeight="false" outlineLevel="0" collapsed="false">
      <c r="A913" s="18" t="str">
        <f aca="false">IFERROR(MID(D913,1,FIND("|",D913)-1)&amp;"-"&amp;C913,"")</f>
        <v/>
      </c>
    </row>
    <row r="914" customFormat="false" ht="14.25" hidden="false" customHeight="false" outlineLevel="0" collapsed="false">
      <c r="A914" s="18" t="str">
        <f aca="false">IFERROR(MID(D914,1,FIND("|",D914)-1)&amp;"-"&amp;C914,"")</f>
        <v/>
      </c>
    </row>
    <row r="915" customFormat="false" ht="14.25" hidden="false" customHeight="false" outlineLevel="0" collapsed="false">
      <c r="A915" s="18" t="str">
        <f aca="false">IFERROR(MID(D915,1,FIND("|",D915)-1)&amp;"-"&amp;C915,"")</f>
        <v/>
      </c>
    </row>
    <row r="916" customFormat="false" ht="14.25" hidden="false" customHeight="false" outlineLevel="0" collapsed="false">
      <c r="A916" s="18" t="str">
        <f aca="false">IFERROR(MID(D916,1,FIND("|",D916)-1)&amp;"-"&amp;C916,"")</f>
        <v/>
      </c>
    </row>
    <row r="917" customFormat="false" ht="14.25" hidden="false" customHeight="false" outlineLevel="0" collapsed="false">
      <c r="A917" s="18" t="str">
        <f aca="false">IFERROR(MID(D917,1,FIND("|",D917)-1)&amp;"-"&amp;C917,"")</f>
        <v/>
      </c>
    </row>
    <row r="918" customFormat="false" ht="14.25" hidden="false" customHeight="false" outlineLevel="0" collapsed="false">
      <c r="A918" s="18" t="str">
        <f aca="false">IFERROR(MID(D918,1,FIND("|",D918)-1)&amp;"-"&amp;C918,"")</f>
        <v/>
      </c>
    </row>
    <row r="919" customFormat="false" ht="14.25" hidden="false" customHeight="false" outlineLevel="0" collapsed="false">
      <c r="A919" s="18" t="str">
        <f aca="false">IFERROR(MID(D919,1,FIND("|",D919)-1)&amp;"-"&amp;C919,"")</f>
        <v/>
      </c>
    </row>
    <row r="920" customFormat="false" ht="14.25" hidden="false" customHeight="false" outlineLevel="0" collapsed="false">
      <c r="A920" s="18" t="str">
        <f aca="false">IFERROR(MID(D920,1,FIND("|",D920)-1)&amp;"-"&amp;C920,"")</f>
        <v/>
      </c>
    </row>
    <row r="921" customFormat="false" ht="14.25" hidden="false" customHeight="false" outlineLevel="0" collapsed="false">
      <c r="A921" s="18" t="str">
        <f aca="false">IFERROR(MID(D921,1,FIND("|",D921)-1)&amp;"-"&amp;C921,"")</f>
        <v/>
      </c>
    </row>
    <row r="922" customFormat="false" ht="14.25" hidden="false" customHeight="false" outlineLevel="0" collapsed="false">
      <c r="A922" s="18" t="str">
        <f aca="false">IFERROR(MID(D922,1,FIND("|",D922)-1)&amp;"-"&amp;C922,"")</f>
        <v/>
      </c>
    </row>
    <row r="923" customFormat="false" ht="14.25" hidden="false" customHeight="false" outlineLevel="0" collapsed="false">
      <c r="A923" s="18" t="str">
        <f aca="false">IFERROR(MID(D923,1,FIND("|",D923)-1)&amp;"-"&amp;C923,"")</f>
        <v/>
      </c>
    </row>
    <row r="924" customFormat="false" ht="14.25" hidden="false" customHeight="false" outlineLevel="0" collapsed="false">
      <c r="A924" s="18" t="str">
        <f aca="false">IFERROR(MID(D924,1,FIND("|",D924)-1)&amp;"-"&amp;C924,"")</f>
        <v/>
      </c>
    </row>
    <row r="925" customFormat="false" ht="14.25" hidden="false" customHeight="false" outlineLevel="0" collapsed="false">
      <c r="A925" s="18" t="str">
        <f aca="false">IFERROR(MID(D925,1,FIND("|",D925)-1)&amp;"-"&amp;C925,"")</f>
        <v/>
      </c>
    </row>
    <row r="926" customFormat="false" ht="14.25" hidden="false" customHeight="false" outlineLevel="0" collapsed="false">
      <c r="A926" s="18" t="str">
        <f aca="false">IFERROR(MID(D926,1,FIND("|",D926)-1)&amp;"-"&amp;C926,"")</f>
        <v/>
      </c>
    </row>
    <row r="927" customFormat="false" ht="14.25" hidden="false" customHeight="false" outlineLevel="0" collapsed="false">
      <c r="A927" s="18" t="str">
        <f aca="false">IFERROR(MID(D927,1,FIND("|",D927)-1)&amp;"-"&amp;C927,"")</f>
        <v/>
      </c>
    </row>
    <row r="928" customFormat="false" ht="14.25" hidden="false" customHeight="false" outlineLevel="0" collapsed="false">
      <c r="A928" s="18" t="str">
        <f aca="false">IFERROR(MID(D928,1,FIND("|",D928)-1)&amp;"-"&amp;C928,"")</f>
        <v/>
      </c>
    </row>
    <row r="929" customFormat="false" ht="14.25" hidden="false" customHeight="false" outlineLevel="0" collapsed="false">
      <c r="A929" s="18" t="str">
        <f aca="false">IFERROR(MID(D929,1,FIND("|",D929)-1)&amp;"-"&amp;C929,"")</f>
        <v/>
      </c>
    </row>
    <row r="930" customFormat="false" ht="14.25" hidden="false" customHeight="false" outlineLevel="0" collapsed="false">
      <c r="A930" s="18" t="str">
        <f aca="false">IFERROR(MID(D930,1,FIND("|",D930)-1)&amp;"-"&amp;C930,"")</f>
        <v/>
      </c>
    </row>
    <row r="931" customFormat="false" ht="14.25" hidden="false" customHeight="false" outlineLevel="0" collapsed="false">
      <c r="A931" s="18" t="str">
        <f aca="false">IFERROR(MID(D931,1,FIND("|",D931)-1)&amp;"-"&amp;C931,"")</f>
        <v/>
      </c>
    </row>
    <row r="932" customFormat="false" ht="14.25" hidden="false" customHeight="false" outlineLevel="0" collapsed="false">
      <c r="A932" s="18" t="str">
        <f aca="false">IFERROR(MID(D932,1,FIND("|",D932)-1)&amp;"-"&amp;C932,"")</f>
        <v/>
      </c>
    </row>
    <row r="933" customFormat="false" ht="14.25" hidden="false" customHeight="false" outlineLevel="0" collapsed="false">
      <c r="A933" s="18" t="str">
        <f aca="false">IFERROR(MID(D933,1,FIND("|",D933)-1)&amp;"-"&amp;C933,"")</f>
        <v/>
      </c>
    </row>
    <row r="934" customFormat="false" ht="14.25" hidden="false" customHeight="false" outlineLevel="0" collapsed="false">
      <c r="A934" s="18" t="str">
        <f aca="false">IFERROR(MID(D934,1,FIND("|",D934)-1)&amp;"-"&amp;C934,"")</f>
        <v/>
      </c>
    </row>
    <row r="935" customFormat="false" ht="14.25" hidden="false" customHeight="false" outlineLevel="0" collapsed="false">
      <c r="A935" s="18" t="str">
        <f aca="false">IFERROR(MID(D935,1,FIND("|",D935)-1)&amp;"-"&amp;C935,"")</f>
        <v/>
      </c>
    </row>
    <row r="936" customFormat="false" ht="14.25" hidden="false" customHeight="false" outlineLevel="0" collapsed="false">
      <c r="A936" s="18" t="str">
        <f aca="false">IFERROR(MID(D936,1,FIND("|",D936)-1)&amp;"-"&amp;C936,"")</f>
        <v/>
      </c>
    </row>
    <row r="937" customFormat="false" ht="14.25" hidden="false" customHeight="false" outlineLevel="0" collapsed="false">
      <c r="A937" s="18" t="str">
        <f aca="false">IFERROR(MID(D937,1,FIND("|",D937)-1)&amp;"-"&amp;C937,"")</f>
        <v/>
      </c>
    </row>
    <row r="938" customFormat="false" ht="14.25" hidden="false" customHeight="false" outlineLevel="0" collapsed="false">
      <c r="A938" s="18" t="str">
        <f aca="false">IFERROR(MID(D938,1,FIND("|",D938)-1)&amp;"-"&amp;C938,"")</f>
        <v/>
      </c>
    </row>
    <row r="939" customFormat="false" ht="14.25" hidden="false" customHeight="false" outlineLevel="0" collapsed="false">
      <c r="A939" s="18" t="str">
        <f aca="false">IFERROR(MID(D939,1,FIND("|",D939)-1)&amp;"-"&amp;C939,"")</f>
        <v/>
      </c>
    </row>
    <row r="940" customFormat="false" ht="14.25" hidden="false" customHeight="false" outlineLevel="0" collapsed="false">
      <c r="A940" s="18" t="str">
        <f aca="false">IFERROR(MID(D940,1,FIND("|",D940)-1)&amp;"-"&amp;C940,"")</f>
        <v/>
      </c>
    </row>
    <row r="941" customFormat="false" ht="14.25" hidden="false" customHeight="false" outlineLevel="0" collapsed="false">
      <c r="A941" s="18" t="str">
        <f aca="false">IFERROR(MID(D941,1,FIND("|",D941)-1)&amp;"-"&amp;C941,"")</f>
        <v/>
      </c>
    </row>
    <row r="942" customFormat="false" ht="14.25" hidden="false" customHeight="false" outlineLevel="0" collapsed="false">
      <c r="A942" s="18" t="str">
        <f aca="false">IFERROR(MID(D942,1,FIND("|",D942)-1)&amp;"-"&amp;C942,"")</f>
        <v/>
      </c>
    </row>
    <row r="943" customFormat="false" ht="14.25" hidden="false" customHeight="false" outlineLevel="0" collapsed="false">
      <c r="A943" s="18" t="str">
        <f aca="false">IFERROR(MID(D943,1,FIND("|",D943)-1)&amp;"-"&amp;C943,"")</f>
        <v/>
      </c>
    </row>
    <row r="944" customFormat="false" ht="14.25" hidden="false" customHeight="false" outlineLevel="0" collapsed="false">
      <c r="A944" s="18" t="str">
        <f aca="false">IFERROR(MID(D944,1,FIND("|",D944)-1)&amp;"-"&amp;C944,"")</f>
        <v/>
      </c>
    </row>
    <row r="945" customFormat="false" ht="14.25" hidden="false" customHeight="false" outlineLevel="0" collapsed="false">
      <c r="A945" s="18" t="str">
        <f aca="false">IFERROR(MID(D945,1,FIND("|",D945)-1)&amp;"-"&amp;C945,"")</f>
        <v/>
      </c>
    </row>
    <row r="946" customFormat="false" ht="14.25" hidden="false" customHeight="false" outlineLevel="0" collapsed="false">
      <c r="A946" s="18" t="str">
        <f aca="false">IFERROR(MID(D946,1,FIND("|",D946)-1)&amp;"-"&amp;C946,"")</f>
        <v/>
      </c>
    </row>
    <row r="947" customFormat="false" ht="14.25" hidden="false" customHeight="false" outlineLevel="0" collapsed="false">
      <c r="A947" s="18" t="str">
        <f aca="false">IFERROR(MID(D947,1,FIND("|",D947)-1)&amp;"-"&amp;C947,"")</f>
        <v/>
      </c>
    </row>
    <row r="948" customFormat="false" ht="14.25" hidden="false" customHeight="false" outlineLevel="0" collapsed="false">
      <c r="A948" s="18" t="str">
        <f aca="false">IFERROR(MID(D948,1,FIND("|",D948)-1)&amp;"-"&amp;C948,"")</f>
        <v/>
      </c>
    </row>
    <row r="949" customFormat="false" ht="14.25" hidden="false" customHeight="false" outlineLevel="0" collapsed="false">
      <c r="A949" s="18" t="str">
        <f aca="false">IFERROR(MID(D949,1,FIND("|",D949)-1)&amp;"-"&amp;C949,"")</f>
        <v/>
      </c>
    </row>
    <row r="950" customFormat="false" ht="14.25" hidden="false" customHeight="false" outlineLevel="0" collapsed="false">
      <c r="A950" s="18" t="str">
        <f aca="false">IFERROR(MID(D950,1,FIND("|",D950)-1)&amp;"-"&amp;C950,"")</f>
        <v/>
      </c>
    </row>
    <row r="951" customFormat="false" ht="14.25" hidden="false" customHeight="false" outlineLevel="0" collapsed="false">
      <c r="A951" s="18" t="str">
        <f aca="false">IFERROR(MID(D951,1,FIND("|",D951)-1)&amp;"-"&amp;C951,"")</f>
        <v/>
      </c>
    </row>
    <row r="952" customFormat="false" ht="14.25" hidden="false" customHeight="false" outlineLevel="0" collapsed="false">
      <c r="A952" s="18" t="str">
        <f aca="false">IFERROR(MID(D952,1,FIND("|",D952)-1)&amp;"-"&amp;C952,"")</f>
        <v/>
      </c>
    </row>
    <row r="953" customFormat="false" ht="14.25" hidden="false" customHeight="false" outlineLevel="0" collapsed="false">
      <c r="A953" s="18" t="str">
        <f aca="false">IFERROR(MID(D953,1,FIND("|",D953)-1)&amp;"-"&amp;C953,"")</f>
        <v/>
      </c>
    </row>
    <row r="954" customFormat="false" ht="14.25" hidden="false" customHeight="false" outlineLevel="0" collapsed="false">
      <c r="A954" s="18" t="str">
        <f aca="false">IFERROR(MID(D954,1,FIND("|",D954)-1)&amp;"-"&amp;C954,"")</f>
        <v/>
      </c>
    </row>
    <row r="955" customFormat="false" ht="14.25" hidden="false" customHeight="false" outlineLevel="0" collapsed="false">
      <c r="A955" s="18" t="str">
        <f aca="false">IFERROR(MID(D955,1,FIND("|",D955)-1)&amp;"-"&amp;C955,"")</f>
        <v/>
      </c>
    </row>
    <row r="956" customFormat="false" ht="14.25" hidden="false" customHeight="false" outlineLevel="0" collapsed="false">
      <c r="A956" s="18" t="str">
        <f aca="false">IFERROR(MID(D956,1,FIND("|",D956)-1)&amp;"-"&amp;C956,"")</f>
        <v/>
      </c>
    </row>
    <row r="957" customFormat="false" ht="14.25" hidden="false" customHeight="false" outlineLevel="0" collapsed="false">
      <c r="A957" s="18" t="str">
        <f aca="false">IFERROR(MID(D957,1,FIND("|",D957)-1)&amp;"-"&amp;C957,"")</f>
        <v/>
      </c>
    </row>
    <row r="958" customFormat="false" ht="14.25" hidden="false" customHeight="false" outlineLevel="0" collapsed="false">
      <c r="A958" s="18" t="str">
        <f aca="false">IFERROR(MID(D958,1,FIND("|",D958)-1)&amp;"-"&amp;C958,"")</f>
        <v/>
      </c>
    </row>
    <row r="959" customFormat="false" ht="14.25" hidden="false" customHeight="false" outlineLevel="0" collapsed="false">
      <c r="A959" s="18" t="str">
        <f aca="false">IFERROR(MID(D959,1,FIND("|",D959)-1)&amp;"-"&amp;C959,"")</f>
        <v/>
      </c>
    </row>
    <row r="960" customFormat="false" ht="14.25" hidden="false" customHeight="false" outlineLevel="0" collapsed="false">
      <c r="A960" s="18" t="str">
        <f aca="false">IFERROR(MID(D960,1,FIND("|",D960)-1)&amp;"-"&amp;C960,"")</f>
        <v/>
      </c>
    </row>
    <row r="961" customFormat="false" ht="14.25" hidden="false" customHeight="false" outlineLevel="0" collapsed="false">
      <c r="A961" s="18" t="str">
        <f aca="false">IFERROR(MID(D961,1,FIND("|",D961)-1)&amp;"-"&amp;C961,"")</f>
        <v/>
      </c>
    </row>
    <row r="962" customFormat="false" ht="14.25" hidden="false" customHeight="false" outlineLevel="0" collapsed="false">
      <c r="A962" s="18" t="str">
        <f aca="false">IFERROR(MID(D962,1,FIND("|",D962)-1)&amp;"-"&amp;C962,"")</f>
        <v/>
      </c>
    </row>
    <row r="963" customFormat="false" ht="14.25" hidden="false" customHeight="false" outlineLevel="0" collapsed="false">
      <c r="A963" s="18" t="str">
        <f aca="false">IFERROR(MID(D963,1,FIND("|",D963)-1)&amp;"-"&amp;C963,"")</f>
        <v/>
      </c>
    </row>
    <row r="964" customFormat="false" ht="14.25" hidden="false" customHeight="false" outlineLevel="0" collapsed="false">
      <c r="A964" s="18" t="str">
        <f aca="false">IFERROR(MID(D964,1,FIND("|",D964)-1)&amp;"-"&amp;C964,"")</f>
        <v/>
      </c>
    </row>
    <row r="965" customFormat="false" ht="14.25" hidden="false" customHeight="false" outlineLevel="0" collapsed="false">
      <c r="A965" s="18" t="str">
        <f aca="false">IFERROR(MID(D965,1,FIND("|",D965)-1)&amp;"-"&amp;C965,"")</f>
        <v/>
      </c>
    </row>
    <row r="966" customFormat="false" ht="14.25" hidden="false" customHeight="false" outlineLevel="0" collapsed="false">
      <c r="A966" s="18" t="str">
        <f aca="false">IFERROR(MID(D966,1,FIND("|",D966)-1)&amp;"-"&amp;C966,"")</f>
        <v/>
      </c>
    </row>
    <row r="967" customFormat="false" ht="14.25" hidden="false" customHeight="false" outlineLevel="0" collapsed="false">
      <c r="A967" s="18" t="str">
        <f aca="false">IFERROR(MID(D967,1,FIND("|",D967)-1)&amp;"-"&amp;C967,"")</f>
        <v/>
      </c>
    </row>
    <row r="968" customFormat="false" ht="14.25" hidden="false" customHeight="false" outlineLevel="0" collapsed="false">
      <c r="A968" s="18" t="str">
        <f aca="false">IFERROR(MID(D968,1,FIND("|",D968)-1)&amp;"-"&amp;C968,"")</f>
        <v/>
      </c>
    </row>
    <row r="969" customFormat="false" ht="14.25" hidden="false" customHeight="false" outlineLevel="0" collapsed="false">
      <c r="A969" s="18" t="str">
        <f aca="false">IFERROR(MID(D969,1,FIND("|",D969)-1)&amp;"-"&amp;C969,"")</f>
        <v/>
      </c>
    </row>
    <row r="970" customFormat="false" ht="14.25" hidden="false" customHeight="false" outlineLevel="0" collapsed="false">
      <c r="A970" s="18" t="str">
        <f aca="false">IFERROR(MID(D970,1,FIND("|",D970)-1)&amp;"-"&amp;C970,"")</f>
        <v/>
      </c>
    </row>
    <row r="971" customFormat="false" ht="14.25" hidden="false" customHeight="false" outlineLevel="0" collapsed="false">
      <c r="A971" s="18" t="str">
        <f aca="false">IFERROR(MID(D971,1,FIND("|",D971)-1)&amp;"-"&amp;C971,"")</f>
        <v/>
      </c>
    </row>
    <row r="972" customFormat="false" ht="14.25" hidden="false" customHeight="false" outlineLevel="0" collapsed="false">
      <c r="A972" s="18" t="str">
        <f aca="false">IFERROR(MID(D972,1,FIND("|",D972)-1)&amp;"-"&amp;C972,"")</f>
        <v/>
      </c>
    </row>
    <row r="973" customFormat="false" ht="14.25" hidden="false" customHeight="false" outlineLevel="0" collapsed="false">
      <c r="A973" s="18" t="str">
        <f aca="false">IFERROR(MID(D973,1,FIND("|",D973)-1)&amp;"-"&amp;C973,"")</f>
        <v/>
      </c>
    </row>
    <row r="974" customFormat="false" ht="14.25" hidden="false" customHeight="false" outlineLevel="0" collapsed="false">
      <c r="A974" s="18" t="str">
        <f aca="false">IFERROR(MID(D974,1,FIND("|",D974)-1)&amp;"-"&amp;C974,"")</f>
        <v/>
      </c>
    </row>
    <row r="975" customFormat="false" ht="14.25" hidden="false" customHeight="false" outlineLevel="0" collapsed="false">
      <c r="A975" s="18" t="str">
        <f aca="false">IFERROR(MID(D975,1,FIND("|",D975)-1)&amp;"-"&amp;C975,"")</f>
        <v/>
      </c>
    </row>
    <row r="976" customFormat="false" ht="14.25" hidden="false" customHeight="false" outlineLevel="0" collapsed="false">
      <c r="A976" s="18" t="str">
        <f aca="false">IFERROR(MID(D976,1,FIND("|",D976)-1)&amp;"-"&amp;C976,"")</f>
        <v/>
      </c>
    </row>
    <row r="977" customFormat="false" ht="14.25" hidden="false" customHeight="false" outlineLevel="0" collapsed="false">
      <c r="A977" s="18" t="str">
        <f aca="false">IFERROR(MID(D977,1,FIND("|",D977)-1)&amp;"-"&amp;C977,"")</f>
        <v/>
      </c>
    </row>
    <row r="978" customFormat="false" ht="14.25" hidden="false" customHeight="false" outlineLevel="0" collapsed="false">
      <c r="A978" s="18" t="str">
        <f aca="false">IFERROR(MID(D978,1,FIND("|",D978)-1)&amp;"-"&amp;C978,"")</f>
        <v/>
      </c>
    </row>
    <row r="979" customFormat="false" ht="14.25" hidden="false" customHeight="false" outlineLevel="0" collapsed="false">
      <c r="A979" s="18" t="str">
        <f aca="false">IFERROR(MID(D979,1,FIND("|",D979)-1)&amp;"-"&amp;C979,"")</f>
        <v/>
      </c>
    </row>
    <row r="980" customFormat="false" ht="14.25" hidden="false" customHeight="false" outlineLevel="0" collapsed="false">
      <c r="A980" s="18" t="str">
        <f aca="false">IFERROR(MID(D980,1,FIND("|",D980)-1)&amp;"-"&amp;C980,"")</f>
        <v/>
      </c>
    </row>
    <row r="981" customFormat="false" ht="14.25" hidden="false" customHeight="false" outlineLevel="0" collapsed="false">
      <c r="A981" s="18" t="str">
        <f aca="false">IFERROR(MID(D981,1,FIND("|",D981)-1)&amp;"-"&amp;C981,"")</f>
        <v/>
      </c>
    </row>
    <row r="982" customFormat="false" ht="14.25" hidden="false" customHeight="false" outlineLevel="0" collapsed="false">
      <c r="A982" s="18" t="str">
        <f aca="false">IFERROR(MID(D982,1,FIND("|",D982)-1)&amp;"-"&amp;C982,"")</f>
        <v/>
      </c>
    </row>
    <row r="983" customFormat="false" ht="14.25" hidden="false" customHeight="false" outlineLevel="0" collapsed="false">
      <c r="A983" s="18" t="str">
        <f aca="false">IFERROR(MID(D983,1,FIND("|",D983)-1)&amp;"-"&amp;C983,"")</f>
        <v/>
      </c>
    </row>
    <row r="984" customFormat="false" ht="14.25" hidden="false" customHeight="false" outlineLevel="0" collapsed="false">
      <c r="A984" s="18" t="str">
        <f aca="false">IFERROR(MID(D984,1,FIND("|",D984)-1)&amp;"-"&amp;C984,"")</f>
        <v/>
      </c>
    </row>
    <row r="985" customFormat="false" ht="14.25" hidden="false" customHeight="false" outlineLevel="0" collapsed="false">
      <c r="A985" s="18" t="str">
        <f aca="false">IFERROR(MID(D985,1,FIND("|",D985)-1)&amp;"-"&amp;C985,"")</f>
        <v/>
      </c>
    </row>
    <row r="986" customFormat="false" ht="14.25" hidden="false" customHeight="false" outlineLevel="0" collapsed="false">
      <c r="A986" s="18" t="str">
        <f aca="false">IFERROR(MID(D986,1,FIND("|",D986)-1)&amp;"-"&amp;C986,"")</f>
        <v/>
      </c>
    </row>
    <row r="987" customFormat="false" ht="14.25" hidden="false" customHeight="false" outlineLevel="0" collapsed="false">
      <c r="A987" s="18" t="str">
        <f aca="false">IFERROR(MID(D987,1,FIND("|",D987)-1)&amp;"-"&amp;C987,"")</f>
        <v/>
      </c>
    </row>
    <row r="988" customFormat="false" ht="14.25" hidden="false" customHeight="false" outlineLevel="0" collapsed="false">
      <c r="A988" s="18" t="str">
        <f aca="false">IFERROR(MID(D988,1,FIND("|",D988)-1)&amp;"-"&amp;C988,"")</f>
        <v/>
      </c>
    </row>
    <row r="989" customFormat="false" ht="14.25" hidden="false" customHeight="false" outlineLevel="0" collapsed="false">
      <c r="A989" s="18" t="str">
        <f aca="false">IFERROR(MID(D989,1,FIND("|",D989)-1)&amp;"-"&amp;C989,"")</f>
        <v/>
      </c>
    </row>
    <row r="990" customFormat="false" ht="14.25" hidden="false" customHeight="false" outlineLevel="0" collapsed="false">
      <c r="A990" s="18" t="str">
        <f aca="false">IFERROR(MID(D990,1,FIND("|",D990)-1)&amp;"-"&amp;C990,"")</f>
        <v/>
      </c>
    </row>
    <row r="991" customFormat="false" ht="14.25" hidden="false" customHeight="false" outlineLevel="0" collapsed="false">
      <c r="A991" s="18" t="str">
        <f aca="false">IFERROR(MID(D991,1,FIND("|",D991)-1)&amp;"-"&amp;C991,"")</f>
        <v/>
      </c>
    </row>
    <row r="992" customFormat="false" ht="14.25" hidden="false" customHeight="false" outlineLevel="0" collapsed="false">
      <c r="A992" s="18" t="str">
        <f aca="false">IFERROR(MID(D992,1,FIND("|",D992)-1)&amp;"-"&amp;C992,"")</f>
        <v/>
      </c>
    </row>
    <row r="993" customFormat="false" ht="14.25" hidden="false" customHeight="false" outlineLevel="0" collapsed="false">
      <c r="A993" s="18" t="str">
        <f aca="false">IFERROR(MID(D993,1,FIND("|",D993)-1)&amp;"-"&amp;C993,"")</f>
        <v/>
      </c>
    </row>
    <row r="994" customFormat="false" ht="14.25" hidden="false" customHeight="false" outlineLevel="0" collapsed="false">
      <c r="A994" s="18" t="str">
        <f aca="false">IFERROR(MID(D994,1,FIND("|",D994)-1)&amp;"-"&amp;C994,"")</f>
        <v/>
      </c>
    </row>
    <row r="995" customFormat="false" ht="14.25" hidden="false" customHeight="false" outlineLevel="0" collapsed="false">
      <c r="A995" s="18" t="str">
        <f aca="false">IFERROR(MID(D995,1,FIND("|",D995)-1)&amp;"-"&amp;C995,"")</f>
        <v/>
      </c>
    </row>
    <row r="996" customFormat="false" ht="14.25" hidden="false" customHeight="false" outlineLevel="0" collapsed="false">
      <c r="A996" s="18" t="str">
        <f aca="false">IFERROR(MID(D996,1,FIND("|",D996)-1)&amp;"-"&amp;C996,"")</f>
        <v/>
      </c>
    </row>
    <row r="997" customFormat="false" ht="14.25" hidden="false" customHeight="false" outlineLevel="0" collapsed="false">
      <c r="A997" s="18" t="str">
        <f aca="false">IFERROR(MID(D997,1,FIND("|",D997)-1)&amp;"-"&amp;C997,"")</f>
        <v/>
      </c>
    </row>
    <row r="998" customFormat="false" ht="14.25" hidden="false" customHeight="false" outlineLevel="0" collapsed="false">
      <c r="A998" s="18" t="str">
        <f aca="false">IFERROR(MID(D998,1,FIND("|",D998)-1)&amp;"-"&amp;C998,"")</f>
        <v/>
      </c>
    </row>
    <row r="999" customFormat="false" ht="14.25" hidden="false" customHeight="false" outlineLevel="0" collapsed="false">
      <c r="A999" s="18" t="str">
        <f aca="false">IFERROR(MID(D999,1,FIND("|",D999)-1)&amp;"-"&amp;C999,"")</f>
        <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6"/>
    <col collapsed="false" customWidth="true" hidden="false" outlineLevel="0" max="3" min="3" style="0" width="6.71"/>
    <col collapsed="false" customWidth="true" hidden="false" outlineLevel="0" max="4" min="4" style="0" width="94.29"/>
    <col collapsed="false" customWidth="true" hidden="false" outlineLevel="0" max="5" min="5" style="0" width="53.86"/>
  </cols>
  <sheetData>
    <row r="1" customFormat="false" ht="12.75" hidden="false" customHeight="false" outlineLevel="0" collapsed="false">
      <c r="A1" s="13" t="s">
        <v>1856</v>
      </c>
      <c r="B1" s="13" t="s">
        <v>1838</v>
      </c>
      <c r="C1" s="13" t="s">
        <v>1839</v>
      </c>
      <c r="D1" s="13" t="s">
        <v>1840</v>
      </c>
      <c r="E1" s="13" t="s">
        <v>1841</v>
      </c>
      <c r="F1" s="13" t="s">
        <v>1842</v>
      </c>
      <c r="G1" s="13" t="s">
        <v>1843</v>
      </c>
    </row>
    <row r="2" customFormat="false" ht="8.2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AICI201806-1-1-1</v>
      </c>
      <c r="B4" s="19" t="n">
        <f aca="false">IFERROR(__xludf.dummyfunction("""COMPUTED_VALUE"""),43556)</f>
        <v>43556</v>
      </c>
      <c r="C4" s="0" t="n">
        <f aca="false">IFERROR(__xludf.dummyfunction("""COMPUTED_VALUE"""),1)</f>
        <v>1</v>
      </c>
      <c r="D4" s="0" t="str">
        <f aca="false">IFERROR(__xludf.dummyfunction("""COMPUTED_VALUE"""),"AICI201806-1-1| Verificación y actualización numeración de placas - 30/06/2019")</f>
        <v>AICI201806-1-1| Verificación y actualización numeración de placas - 30/06/2019</v>
      </c>
      <c r="E4" s="0" t="str">
        <f aca="false">IFERROR(__xludf.dummyfunction("""COMPUTED_VALUE"""),"1. Generación de reportes por el sistema de información para identificar duplicidad en la imanación física de los activos devolutivos y bienes de consumo controlado aptos de poseer etiqueta física
2. Verificación física elementos")</f>
        <v>1. Generación de reportes por el sistema de información para identificar duplicidad en la imanación física de los activos devolutivos y bienes de consumo controlado aptos de poseer etiqueta física
2. Verificación física elementos</v>
      </c>
      <c r="F4" s="0" t="str">
        <f aca="false">IFERROR(__xludf.dummyfunction("""COMPUTED_VALUE"""),"En desarrollo")</f>
        <v>En desarrollo</v>
      </c>
    </row>
    <row r="5" customFormat="false" ht="14.25" hidden="false" customHeight="false" outlineLevel="0" collapsed="false">
      <c r="A5" s="18" t="str">
        <f aca="false">IFERROR(MID(D5,1,FIND("|",D5)-1)&amp;"-"&amp;C5,"")</f>
        <v>AICI201806-2-1-1</v>
      </c>
      <c r="B5" s="19" t="n">
        <f aca="false">IFERROR(__xludf.dummyfunction("""COMPUTED_VALUE"""),43556)</f>
        <v>43556</v>
      </c>
      <c r="C5" s="0" t="n">
        <f aca="false">IFERROR(__xludf.dummyfunction("""COMPUTED_VALUE"""),1)</f>
        <v>1</v>
      </c>
      <c r="D5" s="0" t="str">
        <f aca="false">IFERROR(__xludf.dummyfunction("""COMPUTED_VALUE"""),"AICI201806-2-1| Seguimiento siniestros - 30/06/2019")</f>
        <v>AICI201806-2-1| Seguimiento siniestros - 30/06/2019</v>
      </c>
      <c r="E5" s="0" t="str">
        <f aca="false">IFERROR(__xludf.dummyfunction("""COMPUTED_VALUE"""),"1. Identificación y reporte siniestros vigencias 2014 y 2015
2. Alcance y revelación por cada proceso
3. Seguimiento por cada reclamación")</f>
        <v>1. Identificación y reporte siniestros vigencias 2014 y 2015
2. Alcance y revelación por cada proceso
3. Seguimiento por cada reclamación</v>
      </c>
      <c r="F5" s="0" t="str">
        <f aca="false">IFERROR(__xludf.dummyfunction("""COMPUTED_VALUE"""),"En desarrollo")</f>
        <v>En desarrollo</v>
      </c>
    </row>
    <row r="6" customFormat="false" ht="14.25" hidden="false" customHeight="false" outlineLevel="0" collapsed="false">
      <c r="A6" s="18" t="str">
        <f aca="false">IFERROR(MID(D6,1,FIND("|",D6)-1)&amp;"-"&amp;C6,"")</f>
        <v>AICI201806-3-1-1</v>
      </c>
      <c r="B6" s="19" t="n">
        <f aca="false">IFERROR(__xludf.dummyfunction("""COMPUTED_VALUE"""),43556)</f>
        <v>43556</v>
      </c>
      <c r="C6" s="0" t="n">
        <f aca="false">IFERROR(__xludf.dummyfunction("""COMPUTED_VALUE"""),1)</f>
        <v>1</v>
      </c>
      <c r="D6" s="0" t="str">
        <f aca="false">IFERROR(__xludf.dummyfunction("""COMPUTED_VALUE"""),"AICI201806-3-1| Capacitar a los Supervisores de Contratos por OPS para que anexen en el expediente contractual los formatos respectivos - 31/05/2019")</f>
        <v>AICI201806-3-1| Capacitar a los Supervisores de Contratos por OPS para que anexen en el expediente contractual los formatos respectivos - 31/05/2019</v>
      </c>
      <c r="E6" s="0" t="str">
        <f aca="false">IFERROR(__xludf.dummyfunction("""COMPUTED_VALUE"""),"Presentacion POWER POIN de fecha 27 de enero de 2019 en el cual se capacita a los supervisores de bienes y servicios respecto de varios temas entre los cuales se encuentra el hurto de bienes e información publica de la subred. Sin embargo en los contratos"&amp;" OPS , se evidencia que no existe soporte alguno de actas de entrega Activos Fijos o legalización del formato de inventario de bienes en servicios (Cod.AP-AT-F-16-1) ni el formato de traslado de elementos devolutivos e inventarios (Cod. FR-F-18-1) por los"&amp;" contratistas.")</f>
        <v>Presentacion POWER POIN de fecha 27 de enero de 2019 en el cual se capacita a los supervisores de bienes y servicios respecto de varios temas entre los cuales se encuentra el hurto de bienes e información publica de la subred. Sin embargo en los contratos OPS , se evidencia que no existe soporte alguno de actas de entrega Activos Fijos o legalización del formato de inventario de bienes en servicios (Cod.AP-AT-F-16-1) ni el formato de traslado de elementos devolutivos e inventarios (Cod. FR-F-18-1) por los contratistas.</v>
      </c>
      <c r="F6" s="0" t="str">
        <f aca="false">IFERROR(__xludf.dummyfunction("""COMPUTED_VALUE"""),"En desarrollo")</f>
        <v>En desarrollo</v>
      </c>
      <c r="G6" s="0" t="str">
        <f aca="false">IFERROR(__xludf.dummyfunction("""COMPUTED_VALUE"""),"https://drive.google.com/open?id=1zMVpQrx8rn3dDbfqJHiRGwfvAAZYF5on, https://drive.google.com/open?id=1qXeyysRhFsp9v-g5h0W9-Y8Fy0ke-gvd, https://drive.google.com/open?id=1kD2MWwx6NKKfa8wg1cimsu7X8mTZtFJN")</f>
        <v>https://drive.google.com/open?id=1zMVpQrx8rn3dDbfqJHiRGwfvAAZYF5on, https://drive.google.com/open?id=1qXeyysRhFsp9v-g5h0W9-Y8Fy0ke-gvd, https://drive.google.com/open?id=1kD2MWwx6NKKfa8wg1cimsu7X8mTZtFJN</v>
      </c>
    </row>
    <row r="7" customFormat="false" ht="14.25" hidden="false" customHeight="false" outlineLevel="0" collapsed="false">
      <c r="A7" s="18" t="str">
        <f aca="false">IFERROR(MID(D7,1,FIND("|",D7)-1)&amp;"-"&amp;C7,"")</f>
        <v>AICI201806-4-1-1</v>
      </c>
      <c r="B7" s="19" t="n">
        <f aca="false">IFERROR(__xludf.dummyfunction("""COMPUTED_VALUE"""),43556)</f>
        <v>43556</v>
      </c>
      <c r="C7" s="0" t="n">
        <f aca="false">IFERROR(__xludf.dummyfunction("""COMPUTED_VALUE"""),1)</f>
        <v>1</v>
      </c>
      <c r="D7" s="0" t="str">
        <f aca="false">IFERROR(__xludf.dummyfunction("""COMPUTED_VALUE"""),"AICI201806-4-1| Inclusión clausula de responsabilidad bienes e inventarios - 31/01/2019")</f>
        <v>AICI201806-4-1| Inclusión clausula de responsabilidad bienes e inventarios - 31/01/2019</v>
      </c>
      <c r="E7" s="0" t="str">
        <f aca="false">IFERROR(__xludf.dummyfunction("""COMPUTED_VALUE"""),"En el Comité de Inventarios del 11 de enero /2019 solicito a la oficina de Contratación  realizar la inclusión de una clausula en los contratos de OPS donde se indique el retiro  debe estar sujeto al paz y salvo  del supervisor de la misma. Por parte de l"&amp;"a oficina de Contratación  en los  contrato de prestación de servicios  se incluye en las obligaciones generales los Numerales 5. 6. 18 y 21 relacionados con la responsabilidad de los bienes entregados para el desarrollo de sus actividades y cumplimiento "&amp;"a guías y protocolos existentes")</f>
        <v>En el Comité de Inventarios del 11 de enero /2019 solicito a la oficina de Contratación  realizar la inclusión de una clausula en los contratos de OPS donde se indique el retiro  debe estar sujeto al paz y salvo  del supervisor de la misma. Por parte de la oficina de Contratación  en los  contrato de prestación de servicios  se incluye en las obligaciones generales los Numerales 5. 6. 18 y 21 relacionados con la responsabilidad de los bienes entregados para el desarrollo de sus actividades y cumplimiento a guías y protocolos existentes</v>
      </c>
      <c r="F7" s="0" t="str">
        <f aca="false">IFERROR(__xludf.dummyfunction("""COMPUTED_VALUE"""),"Completo")</f>
        <v>Completo</v>
      </c>
    </row>
    <row r="8" customFormat="false" ht="14.25" hidden="false" customHeight="false" outlineLevel="0" collapsed="false">
      <c r="A8" s="18" t="str">
        <f aca="false">IFERROR(MID(D8,1,FIND("|",D8)-1)&amp;"-"&amp;C8,"")</f>
        <v>AICI201806-5-1-1</v>
      </c>
      <c r="B8" s="19" t="n">
        <f aca="false">IFERROR(__xludf.dummyfunction("""COMPUTED_VALUE"""),43556)</f>
        <v>43556</v>
      </c>
      <c r="C8" s="0" t="n">
        <f aca="false">IFERROR(__xludf.dummyfunction("""COMPUTED_VALUE"""),1)</f>
        <v>1</v>
      </c>
      <c r="D8" s="0" t="str">
        <f aca="false">IFERROR(__xludf.dummyfunction("""COMPUTED_VALUE"""),"AICI201806-5-1| Revisión etiquetas y proceso de remarcación física a elementos suceptibles de cambio - 31/12/2019")</f>
        <v>AICI201806-5-1| Revisión etiquetas y proceso de remarcación física a elementos suceptibles de cambio - 31/12/2019</v>
      </c>
      <c r="E8" s="0" t="str">
        <f aca="false">IFERROR(__xludf.dummyfunction("""COMPUTED_VALUE"""),"1. Verificación estado de etiquetas a través de la toma física de inventarios 2019
2. Impresión y cambio de etiquetas")</f>
        <v>1. Verificación estado de etiquetas a través de la toma física de inventarios 2019
2. Impresión y cambio de etiquetas</v>
      </c>
      <c r="F8" s="0" t="str">
        <f aca="false">IFERROR(__xludf.dummyfunction("""COMPUTED_VALUE"""),"No iniciado")</f>
        <v>No iniciado</v>
      </c>
    </row>
    <row r="9" customFormat="false" ht="14.25" hidden="false" customHeight="false" outlineLevel="0" collapsed="false">
      <c r="A9" s="18" t="str">
        <f aca="false">IFERROR(MID(D9,1,FIND("|",D9)-1)&amp;"-"&amp;C9,"")</f>
        <v>AICI201806-6-1-1</v>
      </c>
      <c r="B9" s="19" t="n">
        <f aca="false">IFERROR(__xludf.dummyfunction("""COMPUTED_VALUE"""),43556)</f>
        <v>43556</v>
      </c>
      <c r="C9" s="0" t="n">
        <f aca="false">IFERROR(__xludf.dummyfunction("""COMPUTED_VALUE"""),1)</f>
        <v>1</v>
      </c>
      <c r="D9" s="0" t="str">
        <f aca="false">IFERROR(__xludf.dummyfunction("""COMPUTED_VALUE"""),"AICI201806-6-1| Revisión y actualización de personal responsable de los activos fijos - 31/07/2019")</f>
        <v>AICI201806-6-1| Revisión y actualización de personal responsable de los activos fijos - 31/07/2019</v>
      </c>
      <c r="E9" s="0" t="str">
        <f aca="false">IFERROR(__xludf.dummyfunction("""COMPUTED_VALUE"""),"1. Identificación responsables de inventario, Generación reporte de ubicaciones y responsables inscritos en el sistema, verificación ubicaciones físicas y personal responsable activo a la fecha en cada una de las estructuras administrativas.
2. Actualizac"&amp;"ión sistema de información")</f>
        <v>1. Identificación responsables de inventario, Generación reporte de ubicaciones y responsables inscritos en el sistema, verificación ubicaciones físicas y personal responsable activo a la fecha en cada una de las estructuras administrativas.
2. Actualización sistema de información</v>
      </c>
      <c r="F9" s="0" t="str">
        <f aca="false">IFERROR(__xludf.dummyfunction("""COMPUTED_VALUE"""),"En desarrollo")</f>
        <v>En desarrollo</v>
      </c>
    </row>
    <row r="10" customFormat="false" ht="14.25" hidden="false" customHeight="false" outlineLevel="0" collapsed="false">
      <c r="A10" s="18" t="str">
        <f aca="false">IFERROR(MID(D10,1,FIND("|",D10)-1)&amp;"-"&amp;C10,"")</f>
        <v>AICI201806-1-1-2</v>
      </c>
      <c r="B10" s="19" t="n">
        <f aca="false">IFERROR(__xludf.dummyfunction("""COMPUTED_VALUE"""),43670)</f>
        <v>43670</v>
      </c>
      <c r="C10" s="0" t="n">
        <f aca="false">IFERROR(__xludf.dummyfunction("""COMPUTED_VALUE"""),2)</f>
        <v>2</v>
      </c>
      <c r="D10" s="0" t="str">
        <f aca="false">IFERROR(__xludf.dummyfunction("""COMPUTED_VALUE"""),"AICI201806-1-1| Verificación y actualización numeración de placas - 30/06/2019")</f>
        <v>AICI201806-1-1| Verificación y actualización numeración de placas - 30/06/2019</v>
      </c>
      <c r="E10" s="0" t="str">
        <f aca="false">IFERROR(__xludf.dummyfunction("""COMPUTED_VALUE"""),"1. Se tienen  reportes por el sistema de información en donde se  identifican duplicidad  de los activos devolutivos y bienes de consumo controlado aptos de poseer etiqueta física.
2. De acuerdo a los listados se viene verificando físicamente los elemento"&amp;"s y se se asigna nuevo numero de plaqueta. Esta Acción se  encuentra en un 80% de ejecución.")</f>
        <v>1. Se tienen  reportes por el sistema de información en donde se  identifican duplicidad  de los activos devolutivos y bienes de consumo controlado aptos de poseer etiqueta física.
2. De acuerdo a los listados se viene verificando físicamente los elementos y se se asigna nuevo numero de plaqueta. Esta Acción se  encuentra en un 80% de ejecución.</v>
      </c>
      <c r="F10" s="0" t="str">
        <f aca="false">IFERROR(__xludf.dummyfunction("""COMPUTED_VALUE"""),"En desarrollo")</f>
        <v>En desarrollo</v>
      </c>
    </row>
    <row r="11" customFormat="false" ht="14.25" hidden="false" customHeight="false" outlineLevel="0" collapsed="false">
      <c r="A11" s="18" t="str">
        <f aca="false">IFERROR(MID(D11,1,FIND("|",D11)-1)&amp;"-"&amp;C11,"")</f>
        <v>AICI201806-2-1-2</v>
      </c>
      <c r="B11" s="19" t="n">
        <f aca="false">IFERROR(__xludf.dummyfunction("""COMPUTED_VALUE"""),43670)</f>
        <v>43670</v>
      </c>
      <c r="C11" s="0" t="n">
        <f aca="false">IFERROR(__xludf.dummyfunction("""COMPUTED_VALUE"""),2)</f>
        <v>2</v>
      </c>
      <c r="D11" s="0" t="str">
        <f aca="false">IFERROR(__xludf.dummyfunction("""COMPUTED_VALUE"""),"AICI201806-2-1| Seguimiento siniestros - 30/06/2019")</f>
        <v>AICI201806-2-1| Seguimiento siniestros - 30/06/2019</v>
      </c>
      <c r="E11" s="0" t="str">
        <f aca="false">IFERROR(__xludf.dummyfunction("""COMPUTED_VALUE"""),"El seguimiento de siniestros y hurtos de las vigencias 2014 y 2015 se encuentra en un 68% de ejecución por lo que están pendientes la ampliación de la respuesta dada por las aseguradoras de tres siniestros, ya que no determina de manera clara y detallada "&amp;"los motivos de las observaciones.")</f>
        <v>El seguimiento de siniestros y hurtos de las vigencias 2014 y 2015 se encuentra en un 68% de ejecución por lo que están pendientes la ampliación de la respuesta dada por las aseguradoras de tres siniestros, ya que no determina de manera clara y detallada los motivos de las observaciones.</v>
      </c>
      <c r="F11" s="0" t="str">
        <f aca="false">IFERROR(__xludf.dummyfunction("""COMPUTED_VALUE"""),"Atrasado")</f>
        <v>Atrasado</v>
      </c>
    </row>
    <row r="12" customFormat="false" ht="14.25" hidden="false" customHeight="false" outlineLevel="0" collapsed="false">
      <c r="A12" s="18" t="str">
        <f aca="false">IFERROR(MID(D12,1,FIND("|",D12)-1)&amp;"-"&amp;C12,"")</f>
        <v>AICI201806-3-1-2</v>
      </c>
      <c r="B12" s="19" t="n">
        <f aca="false">IFERROR(__xludf.dummyfunction("""COMPUTED_VALUE"""),43670)</f>
        <v>43670</v>
      </c>
      <c r="C12" s="0" t="n">
        <f aca="false">IFERROR(__xludf.dummyfunction("""COMPUTED_VALUE"""),2)</f>
        <v>2</v>
      </c>
      <c r="D12" s="0" t="str">
        <f aca="false">IFERROR(__xludf.dummyfunction("""COMPUTED_VALUE"""),"AICI201806-3-1| Capacitar a los Supervisores de Contratos por OPS para que anexen en el expediente contractual los formatos respectivos - 31/05/2019")</f>
        <v>AICI201806-3-1| Capacitar a los Supervisores de Contratos por OPS para que anexen en el expediente contractual los formatos respectivos - 31/05/2019</v>
      </c>
      <c r="E12" s="0" t="str">
        <f aca="false">IFERROR(__xludf.dummyfunction("""COMPUTED_VALUE"""),"La Doctora Lidia Hemilet Cala realizo remitió los siguientes soportes: 
* Presentación POWER POIN de fecha 27 de enero de 2019 en el cual se capacita a los supervisores de bienes y servicios respecto de varios temas entre los cuales se encuentra el hurto "&amp;"de bienes e información publica de la subred. 
*INSTRUCTIVO AP-AT1-14-01 relacionado con el INSTRUCTIVO CUIDO LO PUBLICO, HURTO, DAÑO Y PERDIDA DE BIENES Y TECNOLOGÍA BIOMEDICA elaborado en coordinación con el área biomedica y la oficina de contratación.")</f>
        <v>La Doctora Lidia Hemilet Cala realizo remitió los siguientes soportes: 
* Presentación POWER POIN de fecha 27 de enero de 2019 en el cual se capacita a los supervisores de bienes y servicios respecto de varios temas entre los cuales se encuentra el hurto de bienes e información publica de la subred. 
*INSTRUCTIVO AP-AT1-14-01 relacionado con el INSTRUCTIVO CUIDO LO PUBLICO, HURTO, DAÑO Y PERDIDA DE BIENES Y TECNOLOGÍA BIOMEDICA elaborado en coordinación con el área biomedica y la oficina de contratación.</v>
      </c>
      <c r="F12" s="0" t="str">
        <f aca="false">IFERROR(__xludf.dummyfunction("""COMPUTED_VALUE"""),"Completo")</f>
        <v>Completo</v>
      </c>
      <c r="G12" s="0" t="str">
        <f aca="false">IFERROR(__xludf.dummyfunction("""COMPUTED_VALUE"""),"https://drive.google.com/open?id=1jnR0Sy-dmLljFBwKcKzi2bqmxki-zwYp, https://drive.google.com/open?id=13prOVLDiB0FGUkhhmQedgxMp1eUObbzP")</f>
        <v>https://drive.google.com/open?id=1jnR0Sy-dmLljFBwKcKzi2bqmxki-zwYp, https://drive.google.com/open?id=13prOVLDiB0FGUkhhmQedgxMp1eUObbzP</v>
      </c>
    </row>
    <row r="13" customFormat="false" ht="14.25" hidden="false" customHeight="false" outlineLevel="0" collapsed="false">
      <c r="A13" s="18" t="str">
        <f aca="false">IFERROR(MID(D13,1,FIND("|",D13)-1)&amp;"-"&amp;C13,"")</f>
        <v>AICI201806-4-1-2</v>
      </c>
      <c r="B13" s="19" t="n">
        <f aca="false">IFERROR(__xludf.dummyfunction("""COMPUTED_VALUE"""),43670)</f>
        <v>43670</v>
      </c>
      <c r="C13" s="0" t="n">
        <f aca="false">IFERROR(__xludf.dummyfunction("""COMPUTED_VALUE"""),2)</f>
        <v>2</v>
      </c>
      <c r="D13" s="0" t="str">
        <f aca="false">IFERROR(__xludf.dummyfunction("""COMPUTED_VALUE"""),"AICI201806-4-1| Inclusión clausula de responsabilidad bienes e inventarios - 31/01/2019")</f>
        <v>AICI201806-4-1| Inclusión clausula de responsabilidad bienes e inventarios - 31/01/2019</v>
      </c>
      <c r="E13" s="0" t="str">
        <f aca="false">IFERROR(__xludf.dummyfunction("""COMPUTED_VALUE"""),"La Dra. Lidia Hemilet Cala de Contratación anexa modelo de minuta contrato de prestación de servicios donde se incluye en las obligaciones generales los Numerales 5. 6. 18 y 21 relacionados con la responsabilidad de los bienes entregados para el desarroll"&amp;"o de sus actividades y cumplimiento a guias y protocolos existentes. ")</f>
        <v>La Dra. Lidia Hemilet Cala de Contratación anexa modelo de minuta contrato de prestación de servicios donde se incluye en las obligaciones generales los Numerales 5. 6. 18 y 21 relacionados con la responsabilidad de los bienes entregados para el desarrollo de sus actividades y cumplimiento a guias y protocolos existentes. </v>
      </c>
      <c r="F13" s="0" t="str">
        <f aca="false">IFERROR(__xludf.dummyfunction("""COMPUTED_VALUE"""),"Completo")</f>
        <v>Completo</v>
      </c>
      <c r="G13" s="20" t="str">
        <f aca="false">IFERROR(__xludf.dummyfunction("""COMPUTED_VALUE"""),"https://drive.google.com/open?id=1X-S0Kd6pyRBG8yBaR33xFY_ClCJGfgBd")</f>
        <v>https://drive.google.com/open?id=1X-S0Kd6pyRBG8yBaR33xFY_ClCJGfgBd</v>
      </c>
    </row>
    <row r="14" customFormat="false" ht="14.25" hidden="false" customHeight="false" outlineLevel="0" collapsed="false">
      <c r="A14" s="18" t="str">
        <f aca="false">IFERROR(MID(D14,1,FIND("|",D14)-1)&amp;"-"&amp;C14,"")</f>
        <v>AICI201806-5-1-2</v>
      </c>
      <c r="B14" s="19" t="n">
        <f aca="false">IFERROR(__xludf.dummyfunction("""COMPUTED_VALUE"""),43670)</f>
        <v>43670</v>
      </c>
      <c r="C14" s="0" t="n">
        <f aca="false">IFERROR(__xludf.dummyfunction("""COMPUTED_VALUE"""),2)</f>
        <v>2</v>
      </c>
      <c r="D14" s="0" t="str">
        <f aca="false">IFERROR(__xludf.dummyfunction("""COMPUTED_VALUE"""),"AICI201806-5-1| Revisión etiquetas y proceso de remarcación física a elementos suceptibles de cambio - 31/12/2019")</f>
        <v>AICI201806-5-1| Revisión etiquetas y proceso de remarcación física a elementos suceptibles de cambio - 31/12/2019</v>
      </c>
      <c r="E14" s="0" t="str">
        <f aca="false">IFERROR(__xludf.dummyfunction("""COMPUTED_VALUE"""),"De acuerdo a lo expresado por el profesional de Activos Fijos la revisión y proceso de remarcación de elementos se viene realizando  de acuerdo a la toma física de inventario en cada una de las Unidades de Servicios de Salud. Esta acción se encuentra en u"&amp;"n 50% de ejecución.")</f>
        <v>De acuerdo a lo expresado por el profesional de Activos Fijos la revisión y proceso de remarcación de elementos se viene realizando  de acuerdo a la toma física de inventario en cada una de las Unidades de Servicios de Salud. Esta acción se encuentra en un 50% de ejecución.</v>
      </c>
      <c r="F14" s="0" t="str">
        <f aca="false">IFERROR(__xludf.dummyfunction("""COMPUTED_VALUE"""),"En desarrollo")</f>
        <v>En desarrollo</v>
      </c>
    </row>
    <row r="15" customFormat="false" ht="14.25" hidden="false" customHeight="false" outlineLevel="0" collapsed="false">
      <c r="A15" s="18" t="str">
        <f aca="false">IFERROR(MID(D15,1,FIND("|",D15)-1)&amp;"-"&amp;C15,"")</f>
        <v>AICI201806-6-1-2</v>
      </c>
      <c r="B15" s="19" t="n">
        <f aca="false">IFERROR(__xludf.dummyfunction("""COMPUTED_VALUE"""),43670)</f>
        <v>43670</v>
      </c>
      <c r="C15" s="0" t="n">
        <f aca="false">IFERROR(__xludf.dummyfunction("""COMPUTED_VALUE"""),2)</f>
        <v>2</v>
      </c>
      <c r="D15" s="0" t="str">
        <f aca="false">IFERROR(__xludf.dummyfunction("""COMPUTED_VALUE"""),"AICI201806-6-1| Revisión y actualización de personal responsable de los activos fijos - 31/07/2019")</f>
        <v>AICI201806-6-1| Revisión y actualización de personal responsable de los activos fijos - 31/07/2019</v>
      </c>
      <c r="E15" s="0" t="str">
        <f aca="false">IFERROR(__xludf.dummyfunction("""COMPUTED_VALUE"""),"De acuerdo a lo expresado por el profesional de Activos Fijos la revisión y actualización de personal responsable de los activos fijos verificando  de acuerdo a la toma física de inventario en cada una de las Unidades de Servicios de Salud. Esta acción se"&amp;" encuentra en un 50% de ejecución.")</f>
        <v>De acuerdo a lo expresado por el profesional de Activos Fijos la revisión y actualización de personal responsable de los activos fijos verificando  de acuerdo a la toma física de inventario en cada una de las Unidades de Servicios de Salud. Esta acción se encuentra en un 50% de ejecución.</v>
      </c>
      <c r="F15" s="0" t="str">
        <f aca="false">IFERROR(__xludf.dummyfunction("""COMPUTED_VALUE"""),"En desarrollo")</f>
        <v>En desarrollo</v>
      </c>
    </row>
    <row r="16" customFormat="false" ht="14.25" hidden="false" customHeight="false" outlineLevel="0" collapsed="false">
      <c r="A16" s="18" t="str">
        <f aca="false">IFERROR(MID(D16,1,FIND("|",D16)-1)&amp;"-"&amp;C16,"")</f>
        <v>AICI201806-1-1-3</v>
      </c>
      <c r="B16" s="19" t="n">
        <f aca="false">IFERROR(__xludf.dummyfunction("""COMPUTED_VALUE"""),43740)</f>
        <v>43740</v>
      </c>
      <c r="C16" s="0" t="n">
        <f aca="false">IFERROR(__xludf.dummyfunction("""COMPUTED_VALUE"""),3)</f>
        <v>3</v>
      </c>
      <c r="D16" s="0" t="str">
        <f aca="false">IFERROR(__xludf.dummyfunction("""COMPUTED_VALUE"""),"AICI201806-1-1| Verificación y actualización numeración de placas - 30/06/2019")</f>
        <v>AICI201806-1-1| Verificación y actualización numeración de placas - 30/06/2019</v>
      </c>
      <c r="E16" s="0" t="str">
        <f aca="false">IFERROR(__xludf.dummyfunction("""COMPUTED_VALUE"""),"Se realizaron verificaciones en el sistema  en lo referente a la acción de doble placado en algunos de los activos y se evidencio que se tiene depurado en un 85%.  Se evidencio los soportes en el aplicativo de activos fijos.")</f>
        <v>Se realizaron verificaciones en el sistema  en lo referente a la acción de doble placado en algunos de los activos y se evidencio que se tiene depurado en un 85%.  Se evidencio los soportes en el aplicativo de activos fijos.</v>
      </c>
      <c r="F16" s="0" t="str">
        <f aca="false">IFERROR(__xludf.dummyfunction("""COMPUTED_VALUE"""),"Atrasado")</f>
        <v>Atrasado</v>
      </c>
    </row>
    <row r="17" customFormat="false" ht="14.25" hidden="false" customHeight="false" outlineLevel="0" collapsed="false">
      <c r="A17" s="18" t="str">
        <f aca="false">IFERROR(MID(D17,1,FIND("|",D17)-1)&amp;"-"&amp;C17,"")</f>
        <v>AICI201806-2-1-3</v>
      </c>
      <c r="B17" s="19" t="n">
        <f aca="false">IFERROR(__xludf.dummyfunction("""COMPUTED_VALUE"""),43740)</f>
        <v>43740</v>
      </c>
      <c r="C17" s="0" t="n">
        <f aca="false">IFERROR(__xludf.dummyfunction("""COMPUTED_VALUE"""),3)</f>
        <v>3</v>
      </c>
      <c r="D17" s="0" t="str">
        <f aca="false">IFERROR(__xludf.dummyfunction("""COMPUTED_VALUE"""),"AICI201806-2-1| Seguimiento siniestros - 30/06/2019")</f>
        <v>AICI201806-2-1| Seguimiento siniestros - 30/06/2019</v>
      </c>
      <c r="E17" s="0" t="str">
        <f aca="false">IFERROR(__xludf.dummyfunction("""COMPUTED_VALUE"""),"La referente las pólizas de la Subred Norte comenta que de  los 8 siniestros de las vigencias 2014 y 2015,  cinco (5) fueron indemnizados quedando pendientes 3 por objeción de los cuales se espera respuesta, que dando en un 63%.")</f>
        <v>La referente las pólizas de la Subred Norte comenta que de  los 8 siniestros de las vigencias 2014 y 2015,  cinco (5) fueron indemnizados quedando pendientes 3 por objeción de los cuales se espera respuesta, que dando en un 63%.</v>
      </c>
      <c r="F17" s="0" t="str">
        <f aca="false">IFERROR(__xludf.dummyfunction("""COMPUTED_VALUE"""),"Atrasado")</f>
        <v>Atrasado</v>
      </c>
    </row>
    <row r="18" customFormat="false" ht="14.25" hidden="false" customHeight="false" outlineLevel="0" collapsed="false">
      <c r="A18" s="18" t="str">
        <f aca="false">IFERROR(MID(D18,1,FIND("|",D18)-1)&amp;"-"&amp;C18,"")</f>
        <v>AICI201806-3-1-3</v>
      </c>
      <c r="B18" s="19" t="n">
        <f aca="false">IFERROR(__xludf.dummyfunction("""COMPUTED_VALUE"""),43740)</f>
        <v>43740</v>
      </c>
      <c r="C18" s="0" t="n">
        <f aca="false">IFERROR(__xludf.dummyfunction("""COMPUTED_VALUE"""),3)</f>
        <v>3</v>
      </c>
      <c r="D18" s="0" t="str">
        <f aca="false">IFERROR(__xludf.dummyfunction("""COMPUTED_VALUE"""),"AICI201806-3-1| Capacitar a los Supervisores de Contratos por OPS para que anexen en el expediente contractual los formatos respectivos - 31/05/2019")</f>
        <v>AICI201806-3-1| Capacitar a los Supervisores de Contratos por OPS para que anexen en el expediente contractual los formatos respectivos - 31/05/2019</v>
      </c>
      <c r="E18" s="0" t="str">
        <f aca="false">IFERROR(__xludf.dummyfunction("""COMPUTED_VALUE"""),"""La Doctora Lidia Hemilet Cala realizo remitió los siguientes soportes: 
* Presentación POWER POIN de fecha 27 de enero de 2019 en el cual se capacita a los supervisores de bienes y servicios respecto de varios temas entre los cuales se encuentra el hurt"&amp;"o de bienes e información publica de la subred. 
*INSTRUCTIVO AP-AT1-14-01 relacionado con el INSTRUCTIVO CUIDO LO PUBLICO, HURTO, DAÑO Y PERDIDA DE BIENES Y TECNOLOGÍA BIOMEDICA elaborado en coordinación con el área biomedica y la oficina de contratación"&amp;".""")</f>
        <v>"La Doctora Lidia Hemilet Cala realizo remitió los siguientes soportes: 
* Presentación POWER POIN de fecha 27 de enero de 2019 en el cual se capacita a los supervisores de bienes y servicios respecto de varios temas entre los cuales se encuentra el hurto de bienes e información publica de la subred. 
*INSTRUCTIVO AP-AT1-14-01 relacionado con el INSTRUCTIVO CUIDO LO PUBLICO, HURTO, DAÑO Y PERDIDA DE BIENES Y TECNOLOGÍA BIOMEDICA elaborado en coordinación con el área biomedica y la oficina de contratación."</v>
      </c>
      <c r="F18" s="0" t="str">
        <f aca="false">IFERROR(__xludf.dummyfunction("""COMPUTED_VALUE"""),"Completo")</f>
        <v>Completo</v>
      </c>
    </row>
    <row r="19" customFormat="false" ht="14.25" hidden="false" customHeight="false" outlineLevel="0" collapsed="false">
      <c r="A19" s="18" t="str">
        <f aca="false">IFERROR(MID(D19,1,FIND("|",D19)-1)&amp;"-"&amp;C19,"")</f>
        <v>AICI201806-4-1-3</v>
      </c>
      <c r="B19" s="19" t="n">
        <f aca="false">IFERROR(__xludf.dummyfunction("""COMPUTED_VALUE"""),43740)</f>
        <v>43740</v>
      </c>
      <c r="C19" s="0" t="n">
        <f aca="false">IFERROR(__xludf.dummyfunction("""COMPUTED_VALUE"""),3)</f>
        <v>3</v>
      </c>
      <c r="D19" s="0" t="str">
        <f aca="false">IFERROR(__xludf.dummyfunction("""COMPUTED_VALUE"""),"AICI201806-4-1| Inclusión clausula de responsabilidad bienes e inventarios - 31/01/2019")</f>
        <v>AICI201806-4-1| Inclusión clausula de responsabilidad bienes e inventarios - 31/01/2019</v>
      </c>
      <c r="E19" s="0" t="str">
        <f aca="false">IFERROR(__xludf.dummyfunction("""COMPUTED_VALUE"""),"La Dra. Lidia Hemilet Cala de Contratación anexa modelo de minuta contrato de prestación de servicios donde se incluye en las obligaciones generales los Numerales 5. 6. 18 y 21 relacionados con la responsabilidad de los bienes entregados para el desarroll"&amp;"o de sus actividades y cumplimiento a guias y protocolos existentes. ")</f>
        <v>La Dra. Lidia Hemilet Cala de Contratación anexa modelo de minuta contrato de prestación de servicios donde se incluye en las obligaciones generales los Numerales 5. 6. 18 y 21 relacionados con la responsabilidad de los bienes entregados para el desarrollo de sus actividades y cumplimiento a guias y protocolos existentes. </v>
      </c>
      <c r="F19" s="0" t="str">
        <f aca="false">IFERROR(__xludf.dummyfunction("""COMPUTED_VALUE"""),"Completo")</f>
        <v>Completo</v>
      </c>
    </row>
    <row r="20" customFormat="false" ht="14.25" hidden="false" customHeight="false" outlineLevel="0" collapsed="false">
      <c r="A20" s="18" t="str">
        <f aca="false">IFERROR(MID(D20,1,FIND("|",D20)-1)&amp;"-"&amp;C20,"")</f>
        <v>AICI201806-5-1-3</v>
      </c>
      <c r="B20" s="19" t="n">
        <f aca="false">IFERROR(__xludf.dummyfunction("""COMPUTED_VALUE"""),43740)</f>
        <v>43740</v>
      </c>
      <c r="C20" s="0" t="n">
        <f aca="false">IFERROR(__xludf.dummyfunction("""COMPUTED_VALUE"""),3)</f>
        <v>3</v>
      </c>
      <c r="D20" s="0" t="str">
        <f aca="false">IFERROR(__xludf.dummyfunction("""COMPUTED_VALUE"""),"AICI201806-5-1| Revisión etiquetas y proceso de remarcación física a elementos suceptibles de cambio - 31/12/2019")</f>
        <v>AICI201806-5-1| Revisión etiquetas y proceso de remarcación física a elementos suceptibles de cambio - 31/12/2019</v>
      </c>
      <c r="E20" s="0" t="str">
        <f aca="false">IFERROR(__xludf.dummyfunction("""COMPUTED_VALUE"""),"Para la acción de revisión etiquetas y proceso de remarcación física a elementos susceptibles de cambio se tiene depurado en un 70% de acuerdo a lo que establecen cada una de las unidades de servicios de salud. Se evidencio los soportes en el aplicativo d"&amp;"e activos fijos.")</f>
        <v>Para la acción de revisión etiquetas y proceso de remarcación física a elementos susceptibles de cambio se tiene depurado en un 70% de acuerdo a lo que establecen cada una de las unidades de servicios de salud. Se evidencio los soportes en el aplicativo de activos fijos.</v>
      </c>
      <c r="F20" s="0" t="str">
        <f aca="false">IFERROR(__xludf.dummyfunction("""COMPUTED_VALUE"""),"En desarrollo")</f>
        <v>En desarrollo</v>
      </c>
    </row>
    <row r="21" customFormat="false" ht="14.25" hidden="false" customHeight="false" outlineLevel="0" collapsed="false">
      <c r="A21" s="18" t="str">
        <f aca="false">IFERROR(MID(D21,1,FIND("|",D21)-1)&amp;"-"&amp;C21,"")</f>
        <v>AICI201806-1-1-4</v>
      </c>
      <c r="B21" s="19" t="n">
        <f aca="false">IFERROR(__xludf.dummyfunction("""COMPUTED_VALUE"""),43854)</f>
        <v>43854</v>
      </c>
      <c r="C21" s="0" t="n">
        <f aca="false">IFERROR(__xludf.dummyfunction("""COMPUTED_VALUE"""),4)</f>
        <v>4</v>
      </c>
      <c r="D21" s="0" t="str">
        <f aca="false">IFERROR(__xludf.dummyfunction("""COMPUTED_VALUE"""),"AICI201806-1-1| Verificación y actualización numeración de placas - 30/06/2019")</f>
        <v>AICI201806-1-1| Verificación y actualización numeración de placas - 30/06/2019</v>
      </c>
      <c r="E21" s="0" t="str">
        <f aca="false">IFERROR(__xludf.dummyfunction("""COMPUTED_VALUE"""),"Se realizaron verificaciones en el sistema  en lo referente a la acción de doble placado  de los activos y se evidencio que se tiene depurado en un 100%.  Se evidencio los soportes en el aplicativo de activos fijos.")</f>
        <v>Se realizaron verificaciones en el sistema  en lo referente a la acción de doble placado  de los activos y se evidencio que se tiene depurado en un 100%.  Se evidencio los soportes en el aplicativo de activos fijos.</v>
      </c>
      <c r="F21" s="0" t="str">
        <f aca="false">IFERROR(__xludf.dummyfunction("""COMPUTED_VALUE"""),"Completo")</f>
        <v>Completo</v>
      </c>
      <c r="G21" s="20" t="str">
        <f aca="false">IFERROR(__xludf.dummyfunction("""COMPUTED_VALUE"""),"https://drive.google.com/open?id=1oIaZV1qJp2XsMayWbteLP2rpqJLtfHA-")</f>
        <v>https://drive.google.com/open?id=1oIaZV1qJp2XsMayWbteLP2rpqJLtfHA-</v>
      </c>
    </row>
    <row r="22" customFormat="false" ht="14.25" hidden="false" customHeight="false" outlineLevel="0" collapsed="false">
      <c r="A22" s="18" t="str">
        <f aca="false">IFERROR(MID(D22,1,FIND("|",D22)-1)&amp;"-"&amp;C22,"")</f>
        <v>AICI201806-2-1-4</v>
      </c>
      <c r="B22" s="19" t="n">
        <f aca="false">IFERROR(__xludf.dummyfunction("""COMPUTED_VALUE"""),43850)</f>
        <v>43850</v>
      </c>
      <c r="C22" s="0" t="n">
        <f aca="false">IFERROR(__xludf.dummyfunction("""COMPUTED_VALUE"""),4)</f>
        <v>4</v>
      </c>
      <c r="D22" s="0" t="str">
        <f aca="false">IFERROR(__xludf.dummyfunction("""COMPUTED_VALUE"""),"AICI201806-2-1| Seguimiento siniestros - 30/06/2019")</f>
        <v>AICI201806-2-1| Seguimiento siniestros - 30/06/2019</v>
      </c>
      <c r="E22" s="0" t="str">
        <f aca="false">IFERROR(__xludf.dummyfunction("""COMPUTED_VALUE"""),"De los siniestros uno queda en notificación de la sentencia judicial, y se encuentra directamente a cargo de la funcionaria Ruth Stella Roa objeto de investigación. Los otros dos siniestros la aseguradora refiere que se encuentran prescritos por vencimien"&amp;"to de términos. Ya que para la época del hecho no se entregó la respuesta solicitada por la persona encargada del área. Se continúa  efectuando el control y seguimiento a los siniestros que reportan a través de la matriz diseñada para tal fin. Queda en un"&amp;" porcentaje del 100% de depuración.1. Identificación y reporte siniestros vigencias 2014 y 2015
2. Alcance y revelación por cada proceso
3. Seguimiento por cada reclamación")</f>
        <v>De los siniestros uno queda en notificación de la sentencia judicial, y se encuentra directamente a cargo de la funcionaria Ruth Stella Roa objeto de investigación. Los otros dos siniestros la aseguradora refiere que se encuentran prescritos por vencimiento de términos. Ya que para la época del hecho no se entregó la respuesta solicitada por la persona encargada del área. Se continúa  efectuando el control y seguimiento a los siniestros que reportan a través de la matriz diseñada para tal fin. Queda en un porcentaje del 100% de depuración.1. Identificación y reporte siniestros vigencias 2014 y 2015
2. Alcance y revelación por cada proceso
3. Seguimiento por cada reclamación</v>
      </c>
      <c r="F22" s="0" t="str">
        <f aca="false">IFERROR(__xludf.dummyfunction("""COMPUTED_VALUE"""),"Completo")</f>
        <v>Completo</v>
      </c>
    </row>
    <row r="23" customFormat="false" ht="14.25" hidden="false" customHeight="false" outlineLevel="0" collapsed="false">
      <c r="A23" s="18" t="str">
        <f aca="false">IFERROR(MID(D23,1,FIND("|",D23)-1)&amp;"-"&amp;C23,"")</f>
        <v>AICI201806-3-1-4</v>
      </c>
      <c r="B23" s="19" t="n">
        <f aca="false">IFERROR(__xludf.dummyfunction("""COMPUTED_VALUE"""),43854)</f>
        <v>43854</v>
      </c>
      <c r="C23" s="0" t="n">
        <f aca="false">IFERROR(__xludf.dummyfunction("""COMPUTED_VALUE"""),4)</f>
        <v>4</v>
      </c>
      <c r="D23" s="0" t="str">
        <f aca="false">IFERROR(__xludf.dummyfunction("""COMPUTED_VALUE"""),"AICI201806-3-1| Capacitar a los Supervisores de Contratos por OPS para que anexen en el expediente contractual los formatos respectivos - 31/05/2019")</f>
        <v>AICI201806-3-1| Capacitar a los Supervisores de Contratos por OPS para que anexen en el expediente contractual los formatos respectivos - 31/05/2019</v>
      </c>
      <c r="E23" s="0" t="str">
        <f aca="false">IFERROR(__xludf.dummyfunction("""COMPUTED_VALUE"""),"Completo en el seguimiento anterior")</f>
        <v>Completo en el seguimiento anterior</v>
      </c>
      <c r="F23" s="0" t="str">
        <f aca="false">IFERROR(__xludf.dummyfunction("""COMPUTED_VALUE"""),"Completo")</f>
        <v>Completo</v>
      </c>
    </row>
    <row r="24" customFormat="false" ht="14.25" hidden="false" customHeight="false" outlineLevel="0" collapsed="false">
      <c r="A24" s="18" t="str">
        <f aca="false">IFERROR(MID(D24,1,FIND("|",D24)-1)&amp;"-"&amp;C24,"")</f>
        <v>AICI201806-4-1-4</v>
      </c>
      <c r="B24" s="19" t="n">
        <f aca="false">IFERROR(__xludf.dummyfunction("""COMPUTED_VALUE"""),43854)</f>
        <v>43854</v>
      </c>
      <c r="C24" s="0" t="n">
        <f aca="false">IFERROR(__xludf.dummyfunction("""COMPUTED_VALUE"""),4)</f>
        <v>4</v>
      </c>
      <c r="D24" s="0" t="str">
        <f aca="false">IFERROR(__xludf.dummyfunction("""COMPUTED_VALUE"""),"AICI201806-4-1| Inclusión clausula de responsabilidad bienes e inventarios - 31/01/2019")</f>
        <v>AICI201806-4-1| Inclusión clausula de responsabilidad bienes e inventarios - 31/01/2019</v>
      </c>
      <c r="E24" s="0" t="str">
        <f aca="false">IFERROR(__xludf.dummyfunction("""COMPUTED_VALUE"""),"Completa en el anterior seguimiento ")</f>
        <v>Completa en el anterior seguimiento </v>
      </c>
      <c r="F24" s="0" t="str">
        <f aca="false">IFERROR(__xludf.dummyfunction("""COMPUTED_VALUE"""),"Completo")</f>
        <v>Completo</v>
      </c>
    </row>
    <row r="25" customFormat="false" ht="14.25" hidden="false" customHeight="false" outlineLevel="0" collapsed="false">
      <c r="A25" s="18" t="str">
        <f aca="false">IFERROR(MID(D25,1,FIND("|",D25)-1)&amp;"-"&amp;C25,"")</f>
        <v>AICI201806-5-1-4</v>
      </c>
      <c r="B25" s="19" t="n">
        <f aca="false">IFERROR(__xludf.dummyfunction("""COMPUTED_VALUE"""),43854)</f>
        <v>43854</v>
      </c>
      <c r="C25" s="0" t="n">
        <f aca="false">IFERROR(__xludf.dummyfunction("""COMPUTED_VALUE"""),4)</f>
        <v>4</v>
      </c>
      <c r="D25" s="0" t="str">
        <f aca="false">IFERROR(__xludf.dummyfunction("""COMPUTED_VALUE"""),"AICI201806-5-1| Revisión etiquetas y proceso de remarcación física a elementos suceptibles de cambio - 31/12/2019")</f>
        <v>AICI201806-5-1| Revisión etiquetas y proceso de remarcación física a elementos suceptibles de cambio - 31/12/2019</v>
      </c>
      <c r="E25" s="0" t="str">
        <f aca="false">IFERROR(__xludf.dummyfunction("""COMPUTED_VALUE"""),"Para la acción de revisión etiquetas y proceso de remarcación física a elementos susceptibles de cambio se tiene depurado en un 100% de acuerdo a lo que establecen cada una de las unidades de servicios de salud.")</f>
        <v>Para la acción de revisión etiquetas y proceso de remarcación física a elementos susceptibles de cambio se tiene depurado en un 100% de acuerdo a lo que establecen cada una de las unidades de servicios de salud.</v>
      </c>
      <c r="F25" s="0" t="str">
        <f aca="false">IFERROR(__xludf.dummyfunction("""COMPUTED_VALUE"""),"Completo")</f>
        <v>Completo</v>
      </c>
    </row>
    <row r="26" customFormat="false" ht="14.25" hidden="false" customHeight="false" outlineLevel="0" collapsed="false">
      <c r="A26" s="18" t="str">
        <f aca="false">IFERROR(MID(D26,1,FIND("|",D26)-1)&amp;"-"&amp;C26,"")</f>
        <v>AICI201806-6-1-4</v>
      </c>
      <c r="B26" s="19" t="n">
        <f aca="false">IFERROR(__xludf.dummyfunction("""COMPUTED_VALUE"""),44034)</f>
        <v>44034</v>
      </c>
      <c r="C26" s="0" t="n">
        <f aca="false">IFERROR(__xludf.dummyfunction("""COMPUTED_VALUE"""),4)</f>
        <v>4</v>
      </c>
      <c r="D26" s="0" t="str">
        <f aca="false">IFERROR(__xludf.dummyfunction("""COMPUTED_VALUE"""),"AICI201806-6-1| Revisión y actualización de personal responsable de los activos fijos - 31/07/2019")</f>
        <v>AICI201806-6-1| Revisión y actualización de personal responsable de los activos fijos - 31/07/2019</v>
      </c>
      <c r="E26" s="0" t="str">
        <f aca="false">IFERROR(__xludf.dummyfunction("""COMPUTED_VALUE"""),"El Profesional de activos fijos comenta que se terminó la toma física de inventarios por cada una de las unidades de servicios de salud de la Subred Norte y  se encuentra en un 100% de depuración. De acuerdo al informe de auditoria de inventarios realizad"&amp;"o por esta oficina en la vigencia 2018,  se realizó verificación en el sistema de información módulo de activos fijos  de aquellos funcionarios retirados que tenían cantidad de elementos a cargo, y se constató mediante certificado de activos fijos que se "&amp;"encuentran a paz y salvo.  Se anexan soportes.")</f>
        <v>El Profesional de activos fijos comenta que se terminó la toma física de inventarios por cada una de las unidades de servicios de salud de la Subred Norte y  se encuentra en un 100% de depuración. De acuerdo al informe de auditoria de inventarios realizado por esta oficina en la vigencia 2018,  se realizó verificación en el sistema de información módulo de activos fijos  de aquellos funcionarios retirados que tenían cantidad de elementos a cargo, y se constató mediante certificado de activos fijos que se encuentran a paz y salvo.  Se anexan soportes.</v>
      </c>
      <c r="F26" s="0" t="str">
        <f aca="false">IFERROR(__xludf.dummyfunction("""COMPUTED_VALUE"""),"Completo")</f>
        <v>Completo</v>
      </c>
      <c r="G26" s="20" t="str">
        <f aca="false">IFERROR(__xludf.dummyfunction("""COMPUTED_VALUE"""),"https://drive.google.com/open?id=151xUbM66mvanixPf7F_SG1sgertO5ZXL")</f>
        <v>https://drive.google.com/open?id=151xUbM66mvanixPf7F_SG1sgertO5ZXL</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row r="34" customFormat="false" ht="14.25" hidden="false" customHeight="false" outlineLevel="0" collapsed="false">
      <c r="A34" s="18" t="str">
        <f aca="false">IFERROR(MID(D34,1,FIND("|",D34)-1)&amp;"-"&amp;C34,"")</f>
        <v/>
      </c>
    </row>
    <row r="35" customFormat="false" ht="14.25" hidden="false" customHeight="false" outlineLevel="0" collapsed="false">
      <c r="A35" s="18" t="str">
        <f aca="false">IFERROR(MID(D35,1,FIND("|",D35)-1)&amp;"-"&amp;C35,"")</f>
        <v/>
      </c>
    </row>
    <row r="36" customFormat="false" ht="14.25" hidden="false" customHeight="false" outlineLevel="0" collapsed="false">
      <c r="A36" s="18" t="str">
        <f aca="false">IFERROR(MID(D36,1,FIND("|",D36)-1)&amp;"-"&amp;C36,"")</f>
        <v/>
      </c>
    </row>
    <row r="37" customFormat="false" ht="14.25" hidden="false" customHeight="false" outlineLevel="0" collapsed="false">
      <c r="A37" s="18" t="str">
        <f aca="false">IFERROR(MID(D37,1,FIND("|",D37)-1)&amp;"-"&amp;C37,"")</f>
        <v/>
      </c>
    </row>
    <row r="38" customFormat="false" ht="14.25" hidden="false" customHeight="false" outlineLevel="0" collapsed="false">
      <c r="A38" s="18" t="str">
        <f aca="false">IFERROR(MID(D38,1,FIND("|",D38)-1)&amp;"-"&amp;C38,"")</f>
        <v/>
      </c>
    </row>
    <row r="39" customFormat="false" ht="14.25" hidden="false" customHeight="false" outlineLevel="0" collapsed="false">
      <c r="A39" s="18" t="str">
        <f aca="false">IFERROR(MID(D39,1,FIND("|",D39)-1)&amp;"-"&amp;C39,"")</f>
        <v/>
      </c>
    </row>
    <row r="40" customFormat="false" ht="14.25" hidden="false" customHeight="false" outlineLevel="0" collapsed="false">
      <c r="A40" s="18" t="str">
        <f aca="false">IFERROR(MID(D40,1,FIND("|",D40)-1)&amp;"-"&amp;C40,"")</f>
        <v/>
      </c>
    </row>
    <row r="41" customFormat="false" ht="14.25" hidden="false" customHeight="false" outlineLevel="0" collapsed="false">
      <c r="A41" s="18" t="str">
        <f aca="false">IFERROR(MID(D41,1,FIND("|",D41)-1)&amp;"-"&amp;C41,"")</f>
        <v/>
      </c>
    </row>
    <row r="42" customFormat="false" ht="14.25" hidden="false" customHeight="false" outlineLevel="0" collapsed="false">
      <c r="A42" s="18" t="str">
        <f aca="false">IFERROR(MID(D42,1,FIND("|",D42)-1)&amp;"-"&amp;C42,"")</f>
        <v/>
      </c>
    </row>
    <row r="43" customFormat="false" ht="14.25" hidden="false" customHeight="false" outlineLevel="0" collapsed="false">
      <c r="A43" s="18" t="str">
        <f aca="false">IFERROR(MID(D43,1,FIND("|",D43)-1)&amp;"-"&amp;C43,"")</f>
        <v/>
      </c>
    </row>
    <row r="44" customFormat="false" ht="14.25" hidden="false" customHeight="false" outlineLevel="0" collapsed="false">
      <c r="A44" s="18" t="str">
        <f aca="false">IFERROR(MID(D44,1,FIND("|",D44)-1)&amp;"-"&amp;C44,"")</f>
        <v/>
      </c>
    </row>
    <row r="45" customFormat="false" ht="14.25" hidden="false" customHeight="false" outlineLevel="0" collapsed="false">
      <c r="A45" s="18" t="str">
        <f aca="false">IFERROR(MID(D45,1,FIND("|",D45)-1)&amp;"-"&amp;C45,"")</f>
        <v/>
      </c>
    </row>
    <row r="46" customFormat="false" ht="14.25" hidden="false" customHeight="false" outlineLevel="0" collapsed="false">
      <c r="A46" s="18" t="str">
        <f aca="false">IFERROR(MID(D46,1,FIND("|",D46)-1)&amp;"-"&amp;C46,"")</f>
        <v/>
      </c>
    </row>
    <row r="47" customFormat="false" ht="14.25" hidden="false" customHeight="false" outlineLevel="0" collapsed="false">
      <c r="A47" s="18" t="str">
        <f aca="false">IFERROR(MID(D47,1,FIND("|",D47)-1)&amp;"-"&amp;C47,"")</f>
        <v/>
      </c>
    </row>
    <row r="48" customFormat="false" ht="14.25" hidden="false" customHeight="false" outlineLevel="0" collapsed="false">
      <c r="A48" s="18" t="str">
        <f aca="false">IFERROR(MID(D48,1,FIND("|",D48)-1)&amp;"-"&amp;C48,"")</f>
        <v/>
      </c>
    </row>
    <row r="49" customFormat="false" ht="14.25" hidden="false" customHeight="false" outlineLevel="0" collapsed="false">
      <c r="A49" s="18" t="str">
        <f aca="false">IFERROR(MID(D49,1,FIND("|",D49)-1)&amp;"-"&amp;C49,"")</f>
        <v/>
      </c>
    </row>
    <row r="50" customFormat="false" ht="14.25" hidden="false" customHeight="false" outlineLevel="0" collapsed="false">
      <c r="A50" s="18" t="str">
        <f aca="false">IFERROR(MID(D50,1,FIND("|",D50)-1)&amp;"-"&amp;C50,"")</f>
        <v/>
      </c>
    </row>
    <row r="51" customFormat="false" ht="14.25" hidden="false" customHeight="false" outlineLevel="0" collapsed="false">
      <c r="A51" s="18" t="str">
        <f aca="false">IFERROR(MID(D51,1,FIND("|",D51)-1)&amp;"-"&amp;C51,"")</f>
        <v/>
      </c>
    </row>
    <row r="52" customFormat="false" ht="14.25" hidden="false" customHeight="false" outlineLevel="0" collapsed="false">
      <c r="A52" s="18" t="str">
        <f aca="false">IFERROR(MID(D52,1,FIND("|",D52)-1)&amp;"-"&amp;C52,"")</f>
        <v/>
      </c>
    </row>
    <row r="53" customFormat="false" ht="14.25" hidden="false" customHeight="false" outlineLevel="0" collapsed="false">
      <c r="A53" s="18" t="str">
        <f aca="false">IFERROR(MID(D53,1,FIND("|",D53)-1)&amp;"-"&amp;C53,"")</f>
        <v/>
      </c>
    </row>
    <row r="54" customFormat="false" ht="14.25" hidden="false" customHeight="false" outlineLevel="0" collapsed="false">
      <c r="A54" s="18" t="str">
        <f aca="false">IFERROR(MID(D54,1,FIND("|",D54)-1)&amp;"-"&amp;C54,"")</f>
        <v/>
      </c>
    </row>
    <row r="55" customFormat="false" ht="14.25" hidden="false" customHeight="false" outlineLevel="0" collapsed="false">
      <c r="A55" s="18" t="str">
        <f aca="false">IFERROR(MID(D55,1,FIND("|",D55)-1)&amp;"-"&amp;C55,"")</f>
        <v/>
      </c>
    </row>
    <row r="56" customFormat="false" ht="14.25" hidden="false" customHeight="false" outlineLevel="0" collapsed="false">
      <c r="A56" s="18" t="str">
        <f aca="false">IFERROR(MID(D56,1,FIND("|",D56)-1)&amp;"-"&amp;C56,"")</f>
        <v/>
      </c>
    </row>
    <row r="57" customFormat="false" ht="14.25" hidden="false" customHeight="false" outlineLevel="0" collapsed="false">
      <c r="A57" s="18" t="str">
        <f aca="false">IFERROR(MID(D57,1,FIND("|",D57)-1)&amp;"-"&amp;C57,"")</f>
        <v/>
      </c>
    </row>
    <row r="58" customFormat="false" ht="14.25" hidden="false" customHeight="false" outlineLevel="0" collapsed="false">
      <c r="A58" s="18" t="str">
        <f aca="false">IFERROR(MID(D58,1,FIND("|",D58)-1)&amp;"-"&amp;C58,"")</f>
        <v/>
      </c>
    </row>
    <row r="59" customFormat="false" ht="14.25" hidden="false" customHeight="false" outlineLevel="0" collapsed="false">
      <c r="A59" s="18" t="str">
        <f aca="false">IFERROR(MID(D59,1,FIND("|",D59)-1)&amp;"-"&amp;C59,"")</f>
        <v/>
      </c>
    </row>
    <row r="60" customFormat="false" ht="14.25" hidden="false" customHeight="false" outlineLevel="0" collapsed="false">
      <c r="A60" s="18" t="str">
        <f aca="false">IFERROR(MID(D60,1,FIND("|",D60)-1)&amp;"-"&amp;C60,"")</f>
        <v/>
      </c>
    </row>
    <row r="61" customFormat="false" ht="14.25" hidden="false" customHeight="false" outlineLevel="0" collapsed="false">
      <c r="A61" s="18" t="str">
        <f aca="false">IFERROR(MID(D61,1,FIND("|",D61)-1)&amp;"-"&amp;C61,"")</f>
        <v/>
      </c>
    </row>
    <row r="62" customFormat="false" ht="14.25" hidden="false" customHeight="false" outlineLevel="0" collapsed="false">
      <c r="A62" s="18" t="str">
        <f aca="false">IFERROR(MID(D62,1,FIND("|",D62)-1)&amp;"-"&amp;C62,"")</f>
        <v/>
      </c>
    </row>
    <row r="63" customFormat="false" ht="14.25" hidden="false" customHeight="false" outlineLevel="0" collapsed="false">
      <c r="A63" s="18" t="str">
        <f aca="false">IFERROR(MID(D63,1,FIND("|",D63)-1)&amp;"-"&amp;C63,"")</f>
        <v/>
      </c>
    </row>
    <row r="64" customFormat="false" ht="14.25" hidden="false" customHeight="false" outlineLevel="0" collapsed="false">
      <c r="A64" s="18" t="str">
        <f aca="false">IFERROR(MID(D64,1,FIND("|",D64)-1)&amp;"-"&amp;C64,"")</f>
        <v/>
      </c>
    </row>
    <row r="65" customFormat="false" ht="14.25" hidden="false" customHeight="false" outlineLevel="0" collapsed="false">
      <c r="A65" s="18" t="str">
        <f aca="false">IFERROR(MID(D65,1,FIND("|",D65)-1)&amp;"-"&amp;C65,"")</f>
        <v/>
      </c>
    </row>
    <row r="66" customFormat="false" ht="14.25" hidden="false" customHeight="false" outlineLevel="0" collapsed="false">
      <c r="A66" s="18" t="str">
        <f aca="false">IFERROR(MID(D66,1,FIND("|",D66)-1)&amp;"-"&amp;C66,"")</f>
        <v/>
      </c>
    </row>
    <row r="67" customFormat="false" ht="14.25" hidden="false" customHeight="false" outlineLevel="0" collapsed="false">
      <c r="A67" s="18" t="str">
        <f aca="false">IFERROR(MID(D67,1,FIND("|",D67)-1)&amp;"-"&amp;C67,"")</f>
        <v/>
      </c>
    </row>
  </sheetData>
  <hyperlinks>
    <hyperlink ref="G13" r:id="rId1" display="https://drive.google.com/open?id=1X-S0Kd6pyRBG8yBaR33xFY_ClCJGfgBd"/>
    <hyperlink ref="G21" r:id="rId2" display="https://drive.google.com/open?id=1oIaZV1qJp2XsMayWbteLP2rpqJLtfHA-"/>
    <hyperlink ref="G26" r:id="rId3" display="https://drive.google.com/open?id=151xUbM66mvanixPf7F_SG1sgertO5ZXL"/>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8984375" defaultRowHeight="15" zeroHeight="false" outlineLevelRow="0" outlineLevelCol="0"/>
  <cols>
    <col collapsed="false" customWidth="true" hidden="false" outlineLevel="0" max="1" min="1" style="0" width="16.14"/>
    <col collapsed="false" customWidth="true" hidden="false" outlineLevel="0" max="2" min="2" style="0" width="9.14"/>
    <col collapsed="false" customWidth="true" hidden="false" outlineLevel="0" max="3" min="3" style="0" width="6.71"/>
    <col collapsed="false" customWidth="true" hidden="false" outlineLevel="0" max="5" min="5" style="0" width="59.86"/>
  </cols>
  <sheetData>
    <row r="1" customFormat="false" ht="12.75" hidden="false" customHeight="false" outlineLevel="0" collapsed="false">
      <c r="A1" s="13" t="s">
        <v>1857</v>
      </c>
      <c r="B1" s="13" t="s">
        <v>1838</v>
      </c>
      <c r="C1" s="13" t="s">
        <v>1839</v>
      </c>
      <c r="D1" s="13" t="s">
        <v>1840</v>
      </c>
      <c r="E1" s="13" t="s">
        <v>1841</v>
      </c>
      <c r="F1" s="13" t="s">
        <v>1842</v>
      </c>
      <c r="G1" s="13" t="s">
        <v>1843</v>
      </c>
    </row>
    <row r="2" customFormat="false" ht="8.25" hidden="false" customHeight="true" outlineLevel="0" collapsed="false">
      <c r="A2" s="17"/>
      <c r="B2" s="17"/>
      <c r="C2" s="17"/>
      <c r="D2" s="17"/>
      <c r="E2" s="17"/>
      <c r="F2" s="17"/>
      <c r="G2" s="17"/>
    </row>
    <row r="3" customFormat="false" ht="12.75" hidden="false" customHeight="false" outlineLevel="0" collapsed="false">
      <c r="A3" s="13" t="s">
        <v>1785</v>
      </c>
      <c r="B3" s="0" t="str">
        <f aca="false">IFERROR(__xludf.dummyfunction("IMPORTRANGE($A$1,""rpta!""&amp;B1)"),"Fecha_seg")</f>
        <v>Fecha_seg</v>
      </c>
      <c r="C3" s="0" t="str">
        <f aca="false">IFERROR(__xludf.dummyfunction("IMPORTRANGE($A$1,""rpta!""&amp;C1)"),"No_seg")</f>
        <v>No_seg</v>
      </c>
      <c r="D3" s="0" t="str">
        <f aca="false">IFERROR(__xludf.dummyfunction("IMPORTRANGE($A$1,""rpta!""&amp;D1)"),"Acción")</f>
        <v>Acción</v>
      </c>
      <c r="E3" s="0" t="str">
        <f aca="false">IFERROR(__xludf.dummyfunction("IMPORTRANGE($A$1,""rpta!""&amp;E1)"),"Observación")</f>
        <v>Observación</v>
      </c>
      <c r="F3" s="0" t="str">
        <f aca="false">IFERROR(__xludf.dummyfunction("IMPORTRANGE($A$1,""rpta!""&amp;F1)"),"Estado")</f>
        <v>Estado</v>
      </c>
      <c r="G3" s="0" t="str">
        <f aca="false">IFERROR(__xludf.dummyfunction("IMPORTRANGE($A$1,""rpta!""&amp;G1)"),"Soportes")</f>
        <v>Soportes</v>
      </c>
    </row>
    <row r="4" customFormat="false" ht="14.25" hidden="false" customHeight="false" outlineLevel="0" collapsed="false">
      <c r="A4" s="18" t="str">
        <f aca="false">IFERROR(MID(D4,1,FIND("|",D4)-1)&amp;"-"&amp;C4,"")</f>
        <v>AICI201807-1-1-1</v>
      </c>
      <c r="B4" s="19" t="n">
        <f aca="false">IFERROR(__xludf.dummyfunction("""COMPUTED_VALUE"""),43658)</f>
        <v>43658</v>
      </c>
      <c r="C4" s="0" t="n">
        <f aca="false">IFERROR(__xludf.dummyfunction("""COMPUTED_VALUE"""),1)</f>
        <v>1</v>
      </c>
      <c r="D4" s="0" t="str">
        <f aca="false">IFERROR(__xludf.dummyfunction("""COMPUTED_VALUE"""),"AICI201807-1-1| Expedir un nuevo acto administrativo que modifique la Resolucion 163 de 2018 donde se incluyan todas las funciones del comité asesor de contratacion de conformidad con el manual de contratacion y necesidades de la subred norte - 30/04/2018")</f>
        <v>AICI201807-1-1| Expedir un nuevo acto administrativo que modifique la Resolucion 163 de 2018 donde se incluyan todas las funciones del comité asesor de contratacion de conformidad con el manual de contratacion y necesidades de la subred norte - 30/04/2018</v>
      </c>
      <c r="E4" s="0" t="str">
        <f aca="false">IFERROR(__xludf.dummyfunction("""COMPUTED_VALUE"""),"Se puede evidenciar que la Dirección de contratación de la Subred Integrada de servicios de Salud Norte ESE, en el mes de Febrero del presente año, dio cumplimiento a la acción de Mejoramiento Planteada,  Mediante la expedición de la Resolución 046 del 1 "&amp;"de febrero de 2019 se modifica el comité asesor de Contratación.")</f>
        <v>Se puede evidenciar que la Dirección de contratación de la Subred Integrada de servicios de Salud Norte ESE, en el mes de Febrero del presente año, dio cumplimiento a la acción de Mejoramiento Planteada,  Mediante la expedición de la Resolución 046 del 1 de febrero de 2019 se modifica el comité asesor de Contratación.</v>
      </c>
      <c r="F4" s="0" t="str">
        <f aca="false">IFERROR(__xludf.dummyfunction("""COMPUTED_VALUE"""),"Completo")</f>
        <v>Completo</v>
      </c>
      <c r="G4" s="20" t="str">
        <f aca="false">IFERROR(__xludf.dummyfunction("""COMPUTED_VALUE"""),"https://drive.google.com/open?id=11AMyZmF-1CLmy3XcehwPXbhLyZSC89V9")</f>
        <v>https://drive.google.com/open?id=11AMyZmF-1CLmy3XcehwPXbhLyZSC89V9</v>
      </c>
    </row>
    <row r="5" customFormat="false" ht="14.25" hidden="false" customHeight="false" outlineLevel="0" collapsed="false">
      <c r="A5" s="18" t="str">
        <f aca="false">IFERROR(MID(D5,1,FIND("|",D5)-1)&amp;"-"&amp;C5,"")</f>
        <v>AICI201807-2-1-1</v>
      </c>
      <c r="B5" s="19" t="n">
        <f aca="false">IFERROR(__xludf.dummyfunction("""COMPUTED_VALUE"""),43658)</f>
        <v>43658</v>
      </c>
      <c r="C5" s="0" t="n">
        <f aca="false">IFERROR(__xludf.dummyfunction("""COMPUTED_VALUE"""),1)</f>
        <v>1</v>
      </c>
      <c r="D5" s="0" t="str">
        <f aca="false">IFERROR(__xludf.dummyfunction("""COMPUTED_VALUE"""),"AICI201807-2-1| Incluir a toda las carpetas de OPS la lista de chequeo donde permita determinar los formatos aplicables al mismo entre ellos el requerimiento motivado de la contratacion ante la ausencia de personal. - 30/11/2019")</f>
        <v>AICI201807-2-1| Incluir a toda las carpetas de OPS la lista de chequeo donde permita determinar los formatos aplicables al mismo entre ellos el requerimiento motivado de la contratacion ante la ausencia de personal. - 30/11/2019</v>
      </c>
      <c r="E5" s="0" t="str">
        <f aca="false">IFERROR(__xludf.dummyfunction("""COMPUTED_VALUE"""),"En cumplimiento de la acción de mejora propuesta, la dirección de contratación de la Subred Integrada de servicios de Salud Norte ESE, en el primer semestre de 2019, desarrollo la acción planteada en el Plan de mejoramiento, lo cual a 30 de junio de 2019 "&amp;"  la totalidad de las carpetas de OPS 2018 y 2019 cuentan con lista de chequeo para verificación de documentos aplicables a contratos de prestación de servicios.")</f>
        <v>En cumplimiento de la acción de mejora propuesta, la dirección de contratación de la Subred Integrada de servicios de Salud Norte ESE, en el primer semestre de 2019, desarrollo la acción planteada en el Plan de mejoramiento, lo cual a 30 de junio de 2019   la totalidad de las carpetas de OPS 2018 y 2019 cuentan con lista de chequeo para verificación de documentos aplicables a contratos de prestación de servicios.</v>
      </c>
      <c r="F5" s="0" t="str">
        <f aca="false">IFERROR(__xludf.dummyfunction("""COMPUTED_VALUE"""),"Completo")</f>
        <v>Completo</v>
      </c>
    </row>
    <row r="6" customFormat="false" ht="14.25" hidden="false" customHeight="false" outlineLevel="0" collapsed="false">
      <c r="A6" s="18" t="str">
        <f aca="false">IFERROR(MID(D6,1,FIND("|",D6)-1)&amp;"-"&amp;C6,"")</f>
        <v>AICI201807-3-1-1</v>
      </c>
      <c r="B6" s="19" t="n">
        <f aca="false">IFERROR(__xludf.dummyfunction("""COMPUTED_VALUE"""),43658)</f>
        <v>43658</v>
      </c>
      <c r="C6" s="0" t="n">
        <f aca="false">IFERROR(__xludf.dummyfunction("""COMPUTED_VALUE"""),1)</f>
        <v>1</v>
      </c>
      <c r="D6" s="0" t="str">
        <f aca="false">IFERROR(__xludf.dummyfunction("""COMPUTED_VALUE"""),"AICI201807-3-1| Ajustar el procedimiento de bienes y servicios conforme a la publicacion en SECOP 2 - 30/11/2019")</f>
        <v>AICI201807-3-1| Ajustar el procedimiento de bienes y servicios conforme a la publicacion en SECOP 2 - 30/11/2019</v>
      </c>
      <c r="E6" s="0" t="str">
        <f aca="false">IFERROR(__xludf.dummyfunction("""COMPUTED_VALUE"""),"En cumplimiento de la acción de mejora propuesta, la dirección de contratación de la Subred Integrada de servicios de Salud Norte ESE, en el primer semestre de 2019 viene desarrollando el ajuste de procedimiento de Bienes y Servicios incluyendo implementa"&amp;"ción del SECOP 2.")</f>
        <v>En cumplimiento de la acción de mejora propuesta, la dirección de contratación de la Subred Integrada de servicios de Salud Norte ESE, en el primer semestre de 2019 viene desarrollando el ajuste de procedimiento de Bienes y Servicios incluyendo implementación del SECOP 2.</v>
      </c>
      <c r="F6" s="0" t="str">
        <f aca="false">IFERROR(__xludf.dummyfunction("""COMPUTED_VALUE"""),"En desarrollo")</f>
        <v>En desarrollo</v>
      </c>
      <c r="G6" s="20" t="str">
        <f aca="false">IFERROR(__xludf.dummyfunction("""COMPUTED_VALUE"""),"https://drive.google.com/open?id=1TM8TV_rxNFhKF4MJcy63cBGdEXCGvR8V")</f>
        <v>https://drive.google.com/open?id=1TM8TV_rxNFhKF4MJcy63cBGdEXCGvR8V</v>
      </c>
    </row>
    <row r="7" customFormat="false" ht="14.25" hidden="false" customHeight="false" outlineLevel="0" collapsed="false">
      <c r="A7" s="18" t="str">
        <f aca="false">IFERROR(MID(D7,1,FIND("|",D7)-1)&amp;"-"&amp;C7,"")</f>
        <v>AICI201807-4-1-1</v>
      </c>
      <c r="B7" s="19" t="n">
        <f aca="false">IFERROR(__xludf.dummyfunction("""COMPUTED_VALUE"""),43658)</f>
        <v>43658</v>
      </c>
      <c r="C7" s="0" t="n">
        <f aca="false">IFERROR(__xludf.dummyfunction("""COMPUTED_VALUE"""),1)</f>
        <v>1</v>
      </c>
      <c r="D7" s="0" t="str">
        <f aca="false">IFERROR(__xludf.dummyfunction("""COMPUTED_VALUE"""),"AICI201807-4-1| Implementar las acciones de intervencion de la gestion documental en la contratacion de ops - 30/11/2019")</f>
        <v>AICI201807-4-1| Implementar las acciones de intervencion de la gestion documental en la contratacion de ops - 30/11/2019</v>
      </c>
      <c r="E7" s="0" t="str">
        <f aca="false">IFERROR(__xludf.dummyfunction("""COMPUTED_VALUE"""),"La dirección de contratación de la Subred Integrada de servicios de Salud Norte ESE, en cumplimiento de la acción de Mejoramiento propuesta se contrata un grupo de mayor personal para intervenir la gestión documental de la Dirección de Contratación corres"&amp;"pondiente a 4  Técnicos administrativos.
")</f>
        <v>La dirección de contratación de la Subred Integrada de servicios de Salud Norte ESE, en cumplimiento de la acción de Mejoramiento propuesta se contrata un grupo de mayor personal para intervenir la gestión documental de la Dirección de Contratación correspondiente a 4  Técnicos administrativos.
</v>
      </c>
      <c r="F7" s="0" t="str">
        <f aca="false">IFERROR(__xludf.dummyfunction("""COMPUTED_VALUE"""),"Completo")</f>
        <v>Completo</v>
      </c>
    </row>
    <row r="8" customFormat="false" ht="14.25" hidden="false" customHeight="false" outlineLevel="0" collapsed="false">
      <c r="A8" s="18" t="str">
        <f aca="false">IFERROR(MID(D8,1,FIND("|",D8)-1)&amp;"-"&amp;C8,"")</f>
        <v>AICI201807-5-1-1</v>
      </c>
      <c r="B8" s="19" t="n">
        <f aca="false">IFERROR(__xludf.dummyfunction("""COMPUTED_VALUE"""),43658)</f>
        <v>43658</v>
      </c>
      <c r="C8" s="0" t="n">
        <f aca="false">IFERROR(__xludf.dummyfunction("""COMPUTED_VALUE"""),1)</f>
        <v>1</v>
      </c>
      <c r="D8" s="0" t="str">
        <f aca="false">IFERROR(__xludf.dummyfunction("""COMPUTED_VALUE"""),"AICI201807-5-1| Realizar seguimiento a atraves de planilla y al secop 2 respecto de la firma de los contratos y/o aprobaciones de las mismas junto con sus modificaciones en forma escrita y a traves del secop 2 - 30/11/2019")</f>
        <v>AICI201807-5-1| Realizar seguimiento a atraves de planilla y al secop 2 respecto de la firma de los contratos y/o aprobaciones de las mismas junto con sus modificaciones en forma escrita y a traves del secop 2 - 30/11/2019</v>
      </c>
      <c r="E8" s="0" t="str">
        <f aca="false">IFERROR(__xludf.dummyfunction("""COMPUTED_VALUE"""),"De conformidad a la acción de mejoramiento propuesta por la dirección de contratación de la Subred Integrada de servicios de Salud Norte ESE se  implementó Formato Electrónico de Diligenciamiento y control para entrega y recibo de comentos por el contrati"&amp;"sta, dando cumplimiento a la acción de Mejora")</f>
        <v>De conformidad a la acción de mejoramiento propuesta por la dirección de contratación de la Subred Integrada de servicios de Salud Norte ESE se  implementó Formato Electrónico de Diligenciamiento y control para entrega y recibo de comentos por el contratista, dando cumplimiento a la acción de Mejora</v>
      </c>
      <c r="F8" s="0" t="str">
        <f aca="false">IFERROR(__xludf.dummyfunction("""COMPUTED_VALUE"""),"Completo")</f>
        <v>Completo</v>
      </c>
      <c r="G8" s="20" t="str">
        <f aca="false">IFERROR(__xludf.dummyfunction("""COMPUTED_VALUE"""),"https://drive.google.com/open?id=1nF5FzwYBah1778LK6R_w-VrtY7go6qJ9")</f>
        <v>https://drive.google.com/open?id=1nF5FzwYBah1778LK6R_w-VrtY7go6qJ9</v>
      </c>
    </row>
    <row r="9" customFormat="false" ht="14.25" hidden="false" customHeight="false" outlineLevel="0" collapsed="false">
      <c r="A9" s="18" t="str">
        <f aca="false">IFERROR(MID(D9,1,FIND("|",D9)-1)&amp;"-"&amp;C9,"")</f>
        <v>AICI201807-6-1-1</v>
      </c>
      <c r="B9" s="19" t="n">
        <f aca="false">IFERROR(__xludf.dummyfunction("""COMPUTED_VALUE"""),43658)</f>
        <v>43658</v>
      </c>
      <c r="C9" s="0" t="n">
        <f aca="false">IFERROR(__xludf.dummyfunction("""COMPUTED_VALUE"""),1)</f>
        <v>1</v>
      </c>
      <c r="D9" s="0" t="str">
        <f aca="false">IFERROR(__xludf.dummyfunction("""COMPUTED_VALUE"""),"AICI201807-6-1| Realizar capacitacion a los supervisores sobre sus obligaciones, implementacion de formato de seguimiento contractual y utilizacion del mismo. - 30/11/2019")</f>
        <v>AICI201807-6-1| Realizar capacitacion a los supervisores sobre sus obligaciones, implementacion de formato de seguimiento contractual y utilizacion del mismo. - 30/11/2019</v>
      </c>
      <c r="E9" s="0" t="str">
        <f aca="false">IFERROR(__xludf.dummyfunction("""COMPUTED_VALUE"""),"La dirección de contratación de la Subred Integrada de servicios de Salud Norte ESE, en cumplimiento de la acción de Mejoramiento propuesta durante el primer semestre de 2019,  llevo a cabo capacitación a supervisores el 28 de enero del presente año, en l"&amp;"o que corresponde a la Contratación de la Entidad.
")</f>
        <v>La dirección de contratación de la Subred Integrada de servicios de Salud Norte ESE, en cumplimiento de la acción de Mejoramiento propuesta durante el primer semestre de 2019,  llevo a cabo capacitación a supervisores el 28 de enero del presente año, en lo que corresponde a la Contratación de la Entidad.
</v>
      </c>
      <c r="F9" s="0" t="str">
        <f aca="false">IFERROR(__xludf.dummyfunction("""COMPUTED_VALUE"""),"Completo")</f>
        <v>Completo</v>
      </c>
      <c r="G9" s="0" t="str">
        <f aca="false">IFERROR(__xludf.dummyfunction("""COMPUTED_VALUE"""),"https://drive.google.com/open?id=1FluSah9tjQSAC2l2hDNUKsfAixcI7cC5, https://drive.google.com/open?id=1WcaVJAU_W3BeIuwbRCRR4y8gvFazS23r")</f>
        <v>https://drive.google.com/open?id=1FluSah9tjQSAC2l2hDNUKsfAixcI7cC5, https://drive.google.com/open?id=1WcaVJAU_W3BeIuwbRCRR4y8gvFazS23r</v>
      </c>
    </row>
    <row r="10" customFormat="false" ht="14.25" hidden="false" customHeight="false" outlineLevel="0" collapsed="false">
      <c r="A10" s="18" t="str">
        <f aca="false">IFERROR(MID(D10,1,FIND("|",D10)-1)&amp;"-"&amp;C10,"")</f>
        <v>AICI201807-7-1-1</v>
      </c>
      <c r="B10" s="19" t="n">
        <f aca="false">IFERROR(__xludf.dummyfunction("""COMPUTED_VALUE"""),43658)</f>
        <v>43658</v>
      </c>
      <c r="C10" s="0" t="n">
        <f aca="false">IFERROR(__xludf.dummyfunction("""COMPUTED_VALUE"""),1)</f>
        <v>1</v>
      </c>
      <c r="D10" s="0" t="str">
        <f aca="false">IFERROR(__xludf.dummyfunction("""COMPUTED_VALUE"""),"AICI201807-7-1| Realizar seguimiento a atraves de planilla y al secop 2 respecto de la firma de las polizas por parte del contratista. - 30/11/2019")</f>
        <v>AICI201807-7-1| Realizar seguimiento a atraves de planilla y al secop 2 respecto de la firma de las polizas por parte del contratista. - 30/11/2019</v>
      </c>
      <c r="E10" s="0" t="str">
        <f aca="false">IFERROR(__xludf.dummyfunction("""COMPUTED_VALUE"""),"En cumplimiento de la acción de mejora propuesta, la dirección de contratación de la Subred Integrada de servicios de Salud Norte ESE, en el primer semestre de 2019, implemento Formato Electrónico de Diligenciamiento y control para entrega y recibo de com"&amp;"entos por el contratista, el cual  incluye entrega de pólizas.")</f>
        <v>En cumplimiento de la acción de mejora propuesta, la dirección de contratación de la Subred Integrada de servicios de Salud Norte ESE, en el primer semestre de 2019, implemento Formato Electrónico de Diligenciamiento y control para entrega y recibo de comentos por el contratista, el cual  incluye entrega de pólizas.</v>
      </c>
      <c r="F10" s="0" t="str">
        <f aca="false">IFERROR(__xludf.dummyfunction("""COMPUTED_VALUE"""),"Completo")</f>
        <v>Completo</v>
      </c>
      <c r="G10" s="20" t="str">
        <f aca="false">IFERROR(__xludf.dummyfunction("""COMPUTED_VALUE"""),"https://drive.google.com/open?id=1sflYQoIJmAenxrLW2hTJVWfzPmAgAJqL")</f>
        <v>https://drive.google.com/open?id=1sflYQoIJmAenxrLW2hTJVWfzPmAgAJqL</v>
      </c>
    </row>
    <row r="11" customFormat="false" ht="14.25" hidden="false" customHeight="false" outlineLevel="0" collapsed="false">
      <c r="A11" s="18" t="str">
        <f aca="false">IFERROR(MID(D11,1,FIND("|",D11)-1)&amp;"-"&amp;C11,"")</f>
        <v>AICI201807-1-1-2</v>
      </c>
      <c r="B11" s="19" t="n">
        <f aca="false">IFERROR(__xludf.dummyfunction("""COMPUTED_VALUE"""),43756)</f>
        <v>43756</v>
      </c>
      <c r="C11" s="0" t="n">
        <f aca="false">IFERROR(__xludf.dummyfunction("""COMPUTED_VALUE"""),2)</f>
        <v>2</v>
      </c>
      <c r="D11" s="0" t="str">
        <f aca="false">IFERROR(__xludf.dummyfunction("""COMPUTED_VALUE"""),"AICI201807-1-1| Expedir un nuevo acto administrativo que modifique la Resolucion 163 de 2018 donde se incluyan todas las funciones del comité asesor de contratacion de conformidad con el manual de contratacion y necesidades de la subred norte - 30/04/2018")</f>
        <v>AICI201807-1-1| Expedir un nuevo acto administrativo que modifique la Resolucion 163 de 2018 donde se incluyan todas las funciones del comité asesor de contratacion de conformidad con el manual de contratacion y necesidades de la subred norte - 30/04/2018</v>
      </c>
      <c r="E11" s="0" t="str">
        <f aca="false">IFERROR(__xludf.dummyfunction("""COMPUTED_VALUE"""),"verificada completada en el primer seguimiento")</f>
        <v>verificada completada en el primer seguimiento</v>
      </c>
      <c r="F11" s="0" t="str">
        <f aca="false">IFERROR(__xludf.dummyfunction("""COMPUTED_VALUE"""),"Completo")</f>
        <v>Completo</v>
      </c>
    </row>
    <row r="12" customFormat="false" ht="14.25" hidden="false" customHeight="false" outlineLevel="0" collapsed="false">
      <c r="A12" s="18" t="str">
        <f aca="false">IFERROR(MID(D12,1,FIND("|",D12)-1)&amp;"-"&amp;C12,"")</f>
        <v>AICI201807-2-1-2</v>
      </c>
      <c r="B12" s="19" t="n">
        <f aca="false">IFERROR(__xludf.dummyfunction("""COMPUTED_VALUE"""),43756)</f>
        <v>43756</v>
      </c>
      <c r="C12" s="0" t="n">
        <f aca="false">IFERROR(__xludf.dummyfunction("""COMPUTED_VALUE"""),2)</f>
        <v>2</v>
      </c>
      <c r="D12" s="0" t="str">
        <f aca="false">IFERROR(__xludf.dummyfunction("""COMPUTED_VALUE"""),"AICI201807-2-1| Incluir a toda las carpetas de OPS la lista de chequeo donde permita determinar los formatos aplicables al mismo entre ellos el requerimiento motivado de la contratacion ante la ausencia de personal. - 30/11/2019")</f>
        <v>AICI201807-2-1| Incluir a toda las carpetas de OPS la lista de chequeo donde permita determinar los formatos aplicables al mismo entre ellos el requerimiento motivado de la contratacion ante la ausencia de personal. - 30/11/2019</v>
      </c>
      <c r="E12" s="0" t="str">
        <f aca="false">IFERROR(__xludf.dummyfunction("""COMPUTED_VALUE"""),"Verificada completada en el primer seguimiento")</f>
        <v>Verificada completada en el primer seguimiento</v>
      </c>
      <c r="F12" s="0" t="str">
        <f aca="false">IFERROR(__xludf.dummyfunction("""COMPUTED_VALUE"""),"Completo")</f>
        <v>Completo</v>
      </c>
    </row>
    <row r="13" customFormat="false" ht="14.25" hidden="false" customHeight="false" outlineLevel="0" collapsed="false">
      <c r="A13" s="18" t="str">
        <f aca="false">IFERROR(MID(D13,1,FIND("|",D13)-1)&amp;"-"&amp;C13,"")</f>
        <v>AICI201807-3-1-2</v>
      </c>
      <c r="B13" s="19" t="n">
        <f aca="false">IFERROR(__xludf.dummyfunction("""COMPUTED_VALUE"""),43756)</f>
        <v>43756</v>
      </c>
      <c r="C13" s="0" t="n">
        <f aca="false">IFERROR(__xludf.dummyfunction("""COMPUTED_VALUE"""),2)</f>
        <v>2</v>
      </c>
      <c r="D13" s="0" t="str">
        <f aca="false">IFERROR(__xludf.dummyfunction("""COMPUTED_VALUE"""),"AICI201807-3-1| Ajustar el procedimiento de bienes y servicios conforme a la publicacion en SECOP 2 - 30/11/2019")</f>
        <v>AICI201807-3-1| Ajustar el procedimiento de bienes y servicios conforme a la publicacion en SECOP 2 - 30/11/2019</v>
      </c>
      <c r="E13" s="0" t="str">
        <f aca="false">IFERROR(__xludf.dummyfunction("""COMPUTED_VALUE"""),"bosquejo  correspondiente al procedimiento de Bienes y Servicios, el cual se encuentra para aprobación con calidad.")</f>
        <v>bosquejo  correspondiente al procedimiento de Bienes y Servicios, el cual se encuentra para aprobación con calidad.</v>
      </c>
      <c r="F13" s="0" t="str">
        <f aca="false">IFERROR(__xludf.dummyfunction("""COMPUTED_VALUE"""),"En desarrollo")</f>
        <v>En desarrollo</v>
      </c>
      <c r="G13" s="0" t="str">
        <f aca="false">IFERROR(__xludf.dummyfunction("""COMPUTED_VALUE"""),"https://drive.google.com/open?id=1zl8Yzjtp9ft2HitK0i65CpWi5wkskmCE, https://drive.google.com/open?id=1novcFO-IzM_Qw1LM1WU1BfeqhqKNnphr")</f>
        <v>https://drive.google.com/open?id=1zl8Yzjtp9ft2HitK0i65CpWi5wkskmCE, https://drive.google.com/open?id=1novcFO-IzM_Qw1LM1WU1BfeqhqKNnphr</v>
      </c>
    </row>
    <row r="14" customFormat="false" ht="14.25" hidden="false" customHeight="false" outlineLevel="0" collapsed="false">
      <c r="A14" s="18" t="str">
        <f aca="false">IFERROR(MID(D14,1,FIND("|",D14)-1)&amp;"-"&amp;C14,"")</f>
        <v>AICI201807-4-1-2</v>
      </c>
      <c r="B14" s="19" t="n">
        <f aca="false">IFERROR(__xludf.dummyfunction("""COMPUTED_VALUE"""),43756)</f>
        <v>43756</v>
      </c>
      <c r="C14" s="0" t="n">
        <f aca="false">IFERROR(__xludf.dummyfunction("""COMPUTED_VALUE"""),2)</f>
        <v>2</v>
      </c>
      <c r="D14" s="0" t="str">
        <f aca="false">IFERROR(__xludf.dummyfunction("""COMPUTED_VALUE"""),"AICI201807-4-1| Implementar las acciones de intervencion de la gestion documental en la contratacion de ops - 30/11/2019")</f>
        <v>AICI201807-4-1| Implementar las acciones de intervencion de la gestion documental en la contratacion de ops - 30/11/2019</v>
      </c>
      <c r="E14" s="0" t="str">
        <f aca="false">IFERROR(__xludf.dummyfunction("""COMPUTED_VALUE"""),"Verificada completada en el primer seguimiento.")</f>
        <v>Verificada completada en el primer seguimiento.</v>
      </c>
      <c r="F14" s="0" t="str">
        <f aca="false">IFERROR(__xludf.dummyfunction("""COMPUTED_VALUE"""),"Completo")</f>
        <v>Completo</v>
      </c>
    </row>
    <row r="15" customFormat="false" ht="14.25" hidden="false" customHeight="false" outlineLevel="0" collapsed="false">
      <c r="A15" s="18" t="str">
        <f aca="false">IFERROR(MID(D15,1,FIND("|",D15)-1)&amp;"-"&amp;C15,"")</f>
        <v>AICI201807-5-1-2</v>
      </c>
      <c r="B15" s="19" t="n">
        <f aca="false">IFERROR(__xludf.dummyfunction("""COMPUTED_VALUE"""),43756)</f>
        <v>43756</v>
      </c>
      <c r="C15" s="0" t="n">
        <f aca="false">IFERROR(__xludf.dummyfunction("""COMPUTED_VALUE"""),2)</f>
        <v>2</v>
      </c>
      <c r="D15" s="0" t="str">
        <f aca="false">IFERROR(__xludf.dummyfunction("""COMPUTED_VALUE"""),"AICI201807-5-1| Realizar seguimiento a atraves de planilla y al secop 2 respecto de la firma de los contratos y/o aprobaciones de las mismas junto con sus modificaciones en forma escrita y a traves del secop 2 - 30/11/2019")</f>
        <v>AICI201807-5-1| Realizar seguimiento a atraves de planilla y al secop 2 respecto de la firma de los contratos y/o aprobaciones de las mismas junto con sus modificaciones en forma escrita y a traves del secop 2 - 30/11/2019</v>
      </c>
      <c r="E15" s="0" t="str">
        <f aca="false">IFERROR(__xludf.dummyfunction("""COMPUTED_VALUE"""),"Verificada completada en el primer seguimiento.")</f>
        <v>Verificada completada en el primer seguimiento.</v>
      </c>
      <c r="F15" s="0" t="str">
        <f aca="false">IFERROR(__xludf.dummyfunction("""COMPUTED_VALUE"""),"Completo")</f>
        <v>Completo</v>
      </c>
    </row>
    <row r="16" customFormat="false" ht="14.25" hidden="false" customHeight="false" outlineLevel="0" collapsed="false">
      <c r="A16" s="18" t="str">
        <f aca="false">IFERROR(MID(D16,1,FIND("|",D16)-1)&amp;"-"&amp;C16,"")</f>
        <v>AICI201807-6-1-2</v>
      </c>
      <c r="B16" s="19" t="n">
        <f aca="false">IFERROR(__xludf.dummyfunction("""COMPUTED_VALUE"""),43756)</f>
        <v>43756</v>
      </c>
      <c r="C16" s="0" t="n">
        <f aca="false">IFERROR(__xludf.dummyfunction("""COMPUTED_VALUE"""),2)</f>
        <v>2</v>
      </c>
      <c r="D16" s="0" t="str">
        <f aca="false">IFERROR(__xludf.dummyfunction("""COMPUTED_VALUE"""),"AICI201807-6-1| Realizar capacitacion a los supervisores sobre sus obligaciones, implementacion de formato de seguimiento contractual y utilizacion del mismo. - 30/11/2019")</f>
        <v>AICI201807-6-1| Realizar capacitacion a los supervisores sobre sus obligaciones, implementacion de formato de seguimiento contractual y utilizacion del mismo. - 30/11/2019</v>
      </c>
      <c r="E16" s="0" t="str">
        <f aca="false">IFERROR(__xludf.dummyfunction("""COMPUTED_VALUE"""),"Verificada completada en el primer seguimiento.")</f>
        <v>Verificada completada en el primer seguimiento.</v>
      </c>
      <c r="F16" s="0" t="str">
        <f aca="false">IFERROR(__xludf.dummyfunction("""COMPUTED_VALUE"""),"Completo")</f>
        <v>Completo</v>
      </c>
    </row>
    <row r="17" customFormat="false" ht="14.25" hidden="false" customHeight="false" outlineLevel="0" collapsed="false">
      <c r="A17" s="18" t="str">
        <f aca="false">IFERROR(MID(D17,1,FIND("|",D17)-1)&amp;"-"&amp;C17,"")</f>
        <v>AICI201807-7-1-2</v>
      </c>
      <c r="B17" s="19" t="n">
        <f aca="false">IFERROR(__xludf.dummyfunction("""COMPUTED_VALUE"""),43756)</f>
        <v>43756</v>
      </c>
      <c r="C17" s="0" t="n">
        <f aca="false">IFERROR(__xludf.dummyfunction("""COMPUTED_VALUE"""),2)</f>
        <v>2</v>
      </c>
      <c r="D17" s="0" t="str">
        <f aca="false">IFERROR(__xludf.dummyfunction("""COMPUTED_VALUE"""),"AICI201807-7-1| Realizar seguimiento a atraves de planilla y al secop 2 respecto de la firma de las polizas por parte del contratista. - 30/11/2019")</f>
        <v>AICI201807-7-1| Realizar seguimiento a atraves de planilla y al secop 2 respecto de la firma de las polizas por parte del contratista. - 30/11/2019</v>
      </c>
      <c r="E17" s="0" t="str">
        <f aca="false">IFERROR(__xludf.dummyfunction("""COMPUTED_VALUE"""),"Verificada completada en el primer seguimiento.")</f>
        <v>Verificada completada en el primer seguimiento.</v>
      </c>
      <c r="F17" s="0" t="str">
        <f aca="false">IFERROR(__xludf.dummyfunction("""COMPUTED_VALUE"""),"Completo")</f>
        <v>Completo</v>
      </c>
    </row>
    <row r="18" customFormat="false" ht="14.25" hidden="false" customHeight="false" outlineLevel="0" collapsed="false">
      <c r="A18" s="18" t="str">
        <f aca="false">IFERROR(MID(D18,1,FIND("|",D18)-1)&amp;"-"&amp;C18,"")</f>
        <v>AICI201807-3-1-3</v>
      </c>
      <c r="B18" s="19" t="n">
        <f aca="false">IFERROR(__xludf.dummyfunction("""COMPUTED_VALUE"""),44433)</f>
        <v>44433</v>
      </c>
      <c r="C18" s="0" t="n">
        <f aca="false">IFERROR(__xludf.dummyfunction("""COMPUTED_VALUE"""),3)</f>
        <v>3</v>
      </c>
      <c r="D18" s="0" t="str">
        <f aca="false">IFERROR(__xludf.dummyfunction("""COMPUTED_VALUE"""),"AICI201807-3-1| Ajustar el procedimiento de bienes y servicios conforme a la publicacion en SECOP 2 - 30/11/2019")</f>
        <v>AICI201807-3-1| Ajustar el procedimiento de bienes y servicios conforme a la publicacion en SECOP 2 - 30/11/2019</v>
      </c>
      <c r="E18" s="0" t="str">
        <f aca="false">IFERROR(__xludf.dummyfunction("""COMPUTED_VALUE"""),"Se evidencia el ajuste y normalización del procedimiento de bienes y servicios de acuerdo a la publicación en SECOP II.  El procedimiento se encuentra publicado en la página Web de la Subred.")</f>
        <v>Se evidencia el ajuste y normalización del procedimiento de bienes y servicios de acuerdo a la publicación en SECOP II.  El procedimiento se encuentra publicado en la página Web de la Subred.</v>
      </c>
      <c r="F18" s="0" t="str">
        <f aca="false">IFERROR(__xludf.dummyfunction("""COMPUTED_VALUE"""),"Completo")</f>
        <v>Completo</v>
      </c>
    </row>
    <row r="19" customFormat="false" ht="14.25" hidden="false" customHeight="false" outlineLevel="0" collapsed="false">
      <c r="A19" s="18" t="str">
        <f aca="false">IFERROR(MID(D19,1,FIND("|",D19)-1)&amp;"-"&amp;C19,"")</f>
        <v/>
      </c>
    </row>
    <row r="20" customFormat="false" ht="14.25" hidden="false" customHeight="false" outlineLevel="0" collapsed="false">
      <c r="A20" s="18" t="str">
        <f aca="false">IFERROR(MID(D20,1,FIND("|",D20)-1)&amp;"-"&amp;C20,"")</f>
        <v/>
      </c>
    </row>
    <row r="21" customFormat="false" ht="14.25" hidden="false" customHeight="false" outlineLevel="0" collapsed="false">
      <c r="A21" s="18" t="str">
        <f aca="false">IFERROR(MID(D21,1,FIND("|",D21)-1)&amp;"-"&amp;C21,"")</f>
        <v/>
      </c>
    </row>
    <row r="22" customFormat="false" ht="14.25" hidden="false" customHeight="false" outlineLevel="0" collapsed="false">
      <c r="A22" s="18" t="str">
        <f aca="false">IFERROR(MID(D22,1,FIND("|",D22)-1)&amp;"-"&amp;C22,"")</f>
        <v/>
      </c>
    </row>
    <row r="23" customFormat="false" ht="14.25" hidden="false" customHeight="false" outlineLevel="0" collapsed="false">
      <c r="A23" s="18" t="str">
        <f aca="false">IFERROR(MID(D23,1,FIND("|",D23)-1)&amp;"-"&amp;C23,"")</f>
        <v/>
      </c>
    </row>
    <row r="24" customFormat="false" ht="14.25" hidden="false" customHeight="false" outlineLevel="0" collapsed="false">
      <c r="A24" s="18" t="str">
        <f aca="false">IFERROR(MID(D24,1,FIND("|",D24)-1)&amp;"-"&amp;C24,"")</f>
        <v/>
      </c>
    </row>
    <row r="25" customFormat="false" ht="14.25" hidden="false" customHeight="false" outlineLevel="0" collapsed="false">
      <c r="A25" s="18" t="str">
        <f aca="false">IFERROR(MID(D25,1,FIND("|",D25)-1)&amp;"-"&amp;C25,"")</f>
        <v/>
      </c>
    </row>
    <row r="26" customFormat="false" ht="14.25" hidden="false" customHeight="false" outlineLevel="0" collapsed="false">
      <c r="A26" s="18" t="str">
        <f aca="false">IFERROR(MID(D26,1,FIND("|",D26)-1)&amp;"-"&amp;C26,"")</f>
        <v/>
      </c>
    </row>
    <row r="27" customFormat="false" ht="14.25" hidden="false" customHeight="false" outlineLevel="0" collapsed="false">
      <c r="A27" s="18" t="str">
        <f aca="false">IFERROR(MID(D27,1,FIND("|",D27)-1)&amp;"-"&amp;C27,"")</f>
        <v/>
      </c>
    </row>
    <row r="28" customFormat="false" ht="14.25" hidden="false" customHeight="false" outlineLevel="0" collapsed="false">
      <c r="A28" s="18" t="str">
        <f aca="false">IFERROR(MID(D28,1,FIND("|",D28)-1)&amp;"-"&amp;C28,"")</f>
        <v/>
      </c>
    </row>
    <row r="29" customFormat="false" ht="14.25" hidden="false" customHeight="false" outlineLevel="0" collapsed="false">
      <c r="A29" s="18" t="str">
        <f aca="false">IFERROR(MID(D29,1,FIND("|",D29)-1)&amp;"-"&amp;C29,"")</f>
        <v/>
      </c>
    </row>
    <row r="30" customFormat="false" ht="14.25" hidden="false" customHeight="false" outlineLevel="0" collapsed="false">
      <c r="A30" s="18" t="str">
        <f aca="false">IFERROR(MID(D30,1,FIND("|",D30)-1)&amp;"-"&amp;C30,"")</f>
        <v/>
      </c>
    </row>
    <row r="31" customFormat="false" ht="14.25" hidden="false" customHeight="false" outlineLevel="0" collapsed="false">
      <c r="A31" s="18" t="str">
        <f aca="false">IFERROR(MID(D31,1,FIND("|",D31)-1)&amp;"-"&amp;C31,"")</f>
        <v/>
      </c>
    </row>
    <row r="32" customFormat="false" ht="14.25" hidden="false" customHeight="false" outlineLevel="0" collapsed="false">
      <c r="A32" s="18" t="str">
        <f aca="false">IFERROR(MID(D32,1,FIND("|",D32)-1)&amp;"-"&amp;C32,"")</f>
        <v/>
      </c>
    </row>
    <row r="33" customFormat="false" ht="14.25" hidden="false" customHeight="false" outlineLevel="0" collapsed="false">
      <c r="A33" s="18" t="str">
        <f aca="false">IFERROR(MID(D33,1,FIND("|",D33)-1)&amp;"-"&amp;C33,"")</f>
        <v/>
      </c>
    </row>
  </sheetData>
  <hyperlinks>
    <hyperlink ref="G4" r:id="rId1" display="https://drive.google.com/open?id=11AMyZmF-1CLmy3XcehwPXbhLyZSC89V9"/>
    <hyperlink ref="G6" r:id="rId2" display="https://drive.google.com/open?id=1TM8TV_rxNFhKF4MJcy63cBGdEXCGvR8V"/>
    <hyperlink ref="G8" r:id="rId3" display="https://drive.google.com/open?id=1nF5FzwYBah1778LK6R_w-VrtY7go6qJ9"/>
    <hyperlink ref="G10" r:id="rId4" display="https://drive.google.com/open?id=1sflYQoIJmAenxrLW2hTJVWfzPmAgAJqL"/>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LibreOffice/7.0.0.3$Windows_X86_64 LibreOffice_project/8061b3e9204bef6b321a21033174034a5e2ea88e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2023-08-15T16:52:22Z</dcterms:created>
  <dc:creator>USUARIO</dc:creator>
  <dc:description/>
  <dc:language>es-CO</dc:language>
  <cp:lastModifiedBy>USUARIO</cp:lastModifiedBy>
  <dcterms:modified xsi:type="dcterms:W3CDTF">2023-08-15T16:56:37Z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