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autoCompressPictures="0"/>
  <bookViews>
    <workbookView xWindow="14970" yWindow="0" windowWidth="9030" windowHeight="8775"/>
  </bookViews>
  <sheets>
    <sheet name="POA 2018" sheetId="6" r:id="rId1"/>
  </sheets>
  <definedNames>
    <definedName name="_xlnm._FilterDatabase" localSheetId="0" hidden="1">'POA 2018'!$F$7:$AA$129</definedName>
    <definedName name="_xlnm.Print_Area" localSheetId="0">'POA 2018'!$A$1:$AA$128</definedName>
    <definedName name="_xlnm.Print_Titles" localSheetId="0">'POA 2018'!$1:$10</definedName>
  </definedNames>
  <calcPr calcId="125725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99" i="6"/>
  <c r="R40" l="1"/>
  <c r="R35" l="1"/>
  <c r="AH12" l="1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3"/>
  <c r="AH54"/>
  <c r="AH55"/>
  <c r="AH56"/>
  <c r="AH57"/>
  <c r="AH58"/>
  <c r="AH59"/>
  <c r="AH60"/>
  <c r="AH61"/>
  <c r="AH62"/>
  <c r="AH63"/>
  <c r="AH64"/>
  <c r="AH65"/>
  <c r="AH66"/>
  <c r="AH67"/>
  <c r="AH68"/>
  <c r="AH69"/>
  <c r="AH70"/>
  <c r="AH71"/>
  <c r="AH72"/>
  <c r="AH73"/>
  <c r="AH74"/>
  <c r="AH75"/>
  <c r="AH76"/>
  <c r="AH77"/>
  <c r="AH78"/>
  <c r="AH79"/>
  <c r="AH80"/>
  <c r="AH81"/>
  <c r="AH82"/>
  <c r="AH83"/>
  <c r="AH84"/>
  <c r="AH85"/>
  <c r="AH86"/>
  <c r="AH87"/>
  <c r="AH88"/>
  <c r="AH89"/>
  <c r="AH90"/>
  <c r="AH91"/>
  <c r="AH92"/>
  <c r="AH93"/>
  <c r="AH94"/>
  <c r="AH95"/>
  <c r="AH96"/>
  <c r="AH97"/>
  <c r="AH98"/>
  <c r="AH99"/>
  <c r="AH100"/>
  <c r="AH101"/>
  <c r="AK101" s="1"/>
  <c r="AH102"/>
  <c r="AH103"/>
  <c r="AH104"/>
  <c r="AH105"/>
  <c r="AH106"/>
  <c r="AH107"/>
  <c r="AH108"/>
  <c r="AH109"/>
  <c r="AH110"/>
  <c r="AH111"/>
  <c r="AH112"/>
  <c r="AK112" s="1"/>
  <c r="AH113"/>
  <c r="AK113" s="1"/>
  <c r="AH114"/>
  <c r="AH115"/>
  <c r="AH116"/>
  <c r="AH117"/>
  <c r="AH118"/>
  <c r="AH119"/>
  <c r="AH120"/>
  <c r="AH121"/>
  <c r="AH122"/>
  <c r="AH123"/>
  <c r="AH124"/>
  <c r="AH125"/>
  <c r="AH126"/>
  <c r="AH127"/>
  <c r="AH128"/>
  <c r="AH11"/>
  <c r="R23" l="1"/>
  <c r="R46"/>
  <c r="R20" l="1"/>
  <c r="R128"/>
  <c r="R117" l="1"/>
  <c r="R114"/>
  <c r="R112" l="1"/>
  <c r="R26"/>
  <c r="R25"/>
  <c r="R24"/>
  <c r="R22"/>
  <c r="R21"/>
  <c r="R19"/>
  <c r="R18"/>
  <c r="R17"/>
  <c r="R14" l="1"/>
  <c r="R87" l="1"/>
  <c r="R102"/>
  <c r="S53" l="1"/>
  <c r="R52"/>
  <c r="R49"/>
  <c r="R74" l="1"/>
  <c r="S74" s="1"/>
  <c r="AC36" l="1"/>
  <c r="R123"/>
  <c r="R68" l="1"/>
  <c r="R89" l="1"/>
  <c r="AK128" l="1"/>
  <c r="AK127"/>
  <c r="AK126"/>
  <c r="AK125"/>
  <c r="AK124"/>
  <c r="AK123"/>
  <c r="AK122"/>
  <c r="AK121"/>
  <c r="AK120"/>
  <c r="AK119"/>
  <c r="AK118"/>
  <c r="AK117"/>
  <c r="AK116"/>
  <c r="AK115"/>
  <c r="AK114"/>
  <c r="AK111"/>
  <c r="AK110"/>
  <c r="AK109"/>
  <c r="AK108"/>
  <c r="AK107"/>
  <c r="AK106"/>
  <c r="AK105"/>
  <c r="AK104"/>
  <c r="AK103"/>
  <c r="AK102"/>
  <c r="AK100"/>
  <c r="AK99"/>
  <c r="AK98"/>
  <c r="AK97"/>
  <c r="AK96"/>
  <c r="AK95"/>
  <c r="AK94"/>
  <c r="AK93"/>
  <c r="AK92"/>
  <c r="AK91"/>
  <c r="AK90"/>
  <c r="AK89"/>
  <c r="AK88"/>
  <c r="AK87"/>
  <c r="AK86"/>
  <c r="AK85"/>
  <c r="AK84"/>
  <c r="AK83"/>
  <c r="AK82"/>
  <c r="AK81"/>
  <c r="AK80"/>
  <c r="AK79"/>
  <c r="AK78"/>
  <c r="AK77"/>
  <c r="AK76"/>
  <c r="AK75"/>
  <c r="AK74"/>
  <c r="AK73"/>
  <c r="AK72"/>
  <c r="AK71"/>
  <c r="AK70"/>
  <c r="AK69"/>
  <c r="AK68"/>
  <c r="AK67"/>
  <c r="AK66"/>
  <c r="AK65"/>
  <c r="AK64"/>
  <c r="AK63"/>
  <c r="AK62"/>
  <c r="AK61"/>
  <c r="AK60"/>
  <c r="AK59"/>
  <c r="AK58"/>
  <c r="AK57"/>
  <c r="AK56"/>
  <c r="AK55"/>
  <c r="AK54"/>
  <c r="AK53"/>
  <c r="AK51"/>
  <c r="AK50"/>
  <c r="AK49"/>
  <c r="AK48"/>
  <c r="AK47"/>
  <c r="AK46"/>
  <c r="AK45"/>
  <c r="AK44"/>
  <c r="AK43"/>
  <c r="AK42"/>
  <c r="AK41"/>
  <c r="AK40"/>
  <c r="AK39"/>
  <c r="AK38"/>
  <c r="AK37"/>
  <c r="AK36"/>
  <c r="AK35"/>
  <c r="AK34"/>
  <c r="AK33"/>
  <c r="AK32"/>
  <c r="AK31"/>
  <c r="AK30"/>
  <c r="AK29"/>
  <c r="AK28"/>
  <c r="AK27"/>
  <c r="AK26"/>
  <c r="AK25"/>
  <c r="AK24"/>
  <c r="AK23"/>
  <c r="AK22"/>
  <c r="AK21"/>
  <c r="AK20"/>
  <c r="AK19"/>
  <c r="AK18"/>
  <c r="AK17"/>
  <c r="AK16"/>
  <c r="AK15"/>
  <c r="AK14"/>
  <c r="AK13"/>
  <c r="AK12"/>
  <c r="AK11"/>
  <c r="AC82"/>
  <c r="AF82" s="1"/>
  <c r="AC83"/>
  <c r="AF83" s="1"/>
  <c r="AC84"/>
  <c r="AF84" s="1"/>
  <c r="AC85"/>
  <c r="AF85" s="1"/>
  <c r="AC86"/>
  <c r="AF86" s="1"/>
  <c r="AC87"/>
  <c r="AF87" s="1"/>
  <c r="AC88"/>
  <c r="AF88" s="1"/>
  <c r="AC89"/>
  <c r="AF89" s="1"/>
  <c r="AC90"/>
  <c r="AF90" s="1"/>
  <c r="AC91"/>
  <c r="AF91" s="1"/>
  <c r="AC92"/>
  <c r="AF92" s="1"/>
  <c r="AC93"/>
  <c r="AF93" s="1"/>
  <c r="AC94"/>
  <c r="AF94" s="1"/>
  <c r="AC95"/>
  <c r="AF95" s="1"/>
  <c r="AC96"/>
  <c r="AF96" s="1"/>
  <c r="AC97"/>
  <c r="AF97" s="1"/>
  <c r="AC98"/>
  <c r="AF98" s="1"/>
  <c r="AC99"/>
  <c r="AF99" s="1"/>
  <c r="AC100"/>
  <c r="AF100" s="1"/>
  <c r="AC101"/>
  <c r="AF101" s="1"/>
  <c r="AC102"/>
  <c r="AF102" s="1"/>
  <c r="AC103"/>
  <c r="AF103" s="1"/>
  <c r="AC104"/>
  <c r="AF104" s="1"/>
  <c r="AC105"/>
  <c r="AF105" s="1"/>
  <c r="AC106"/>
  <c r="AF106" s="1"/>
  <c r="AC107"/>
  <c r="AF107" s="1"/>
  <c r="AC108"/>
  <c r="AF108" s="1"/>
  <c r="AC109"/>
  <c r="AF109" s="1"/>
  <c r="AC110"/>
  <c r="AF110" s="1"/>
  <c r="AC111"/>
  <c r="AF111" s="1"/>
  <c r="AC112"/>
  <c r="AF112" s="1"/>
  <c r="AC113"/>
  <c r="AF113" s="1"/>
  <c r="AC114"/>
  <c r="AF114" s="1"/>
  <c r="AC115"/>
  <c r="AF115" s="1"/>
  <c r="AC116"/>
  <c r="AF116" s="1"/>
  <c r="AC117"/>
  <c r="AF117" s="1"/>
  <c r="AC118"/>
  <c r="AF118" s="1"/>
  <c r="AC119"/>
  <c r="AF119" s="1"/>
  <c r="AC120"/>
  <c r="AF120" s="1"/>
  <c r="AC121"/>
  <c r="AF121" s="1"/>
  <c r="AC122"/>
  <c r="AF122" s="1"/>
  <c r="AC123"/>
  <c r="AF123" s="1"/>
  <c r="AC124"/>
  <c r="AF124" s="1"/>
  <c r="AC125"/>
  <c r="AF125" s="1"/>
  <c r="AC126"/>
  <c r="AF126" s="1"/>
  <c r="AC127"/>
  <c r="AF127" s="1"/>
  <c r="AC128"/>
  <c r="AF128" s="1"/>
  <c r="AC33"/>
  <c r="AF33" s="1"/>
  <c r="AC34"/>
  <c r="AF34" s="1"/>
  <c r="AC35"/>
  <c r="AF35" s="1"/>
  <c r="AF36"/>
  <c r="AC37"/>
  <c r="AF37" s="1"/>
  <c r="AC38"/>
  <c r="AF38" s="1"/>
  <c r="AC39"/>
  <c r="AF39" s="1"/>
  <c r="AC40"/>
  <c r="AF40" s="1"/>
  <c r="AC41"/>
  <c r="AF41" s="1"/>
  <c r="AC42"/>
  <c r="AF42" s="1"/>
  <c r="AC43"/>
  <c r="AF43" s="1"/>
  <c r="AC44"/>
  <c r="AF44" s="1"/>
  <c r="AC45"/>
  <c r="AF45" s="1"/>
  <c r="AC46"/>
  <c r="AF46" s="1"/>
  <c r="AC47"/>
  <c r="AF47" s="1"/>
  <c r="AC48"/>
  <c r="AF48" s="1"/>
  <c r="AC49"/>
  <c r="AF49" s="1"/>
  <c r="AC50"/>
  <c r="AF50" s="1"/>
  <c r="AC51"/>
  <c r="AF51" s="1"/>
  <c r="AC53"/>
  <c r="AF53" s="1"/>
  <c r="AC54"/>
  <c r="AF54" s="1"/>
  <c r="AC55"/>
  <c r="AF55" s="1"/>
  <c r="AC56"/>
  <c r="AF56" s="1"/>
  <c r="AC57"/>
  <c r="AF57" s="1"/>
  <c r="AC58"/>
  <c r="AF58" s="1"/>
  <c r="AC59"/>
  <c r="AF59" s="1"/>
  <c r="AC60"/>
  <c r="AF60" s="1"/>
  <c r="AC61"/>
  <c r="AF61" s="1"/>
  <c r="AC62"/>
  <c r="AF62" s="1"/>
  <c r="AC63"/>
  <c r="AF63" s="1"/>
  <c r="AC64"/>
  <c r="AF64" s="1"/>
  <c r="AC65"/>
  <c r="AF65" s="1"/>
  <c r="AC66"/>
  <c r="AF66" s="1"/>
  <c r="AC67"/>
  <c r="AF67" s="1"/>
  <c r="AC68"/>
  <c r="AF68" s="1"/>
  <c r="AC69"/>
  <c r="AF69" s="1"/>
  <c r="AC70"/>
  <c r="AF70" s="1"/>
  <c r="AC71"/>
  <c r="AF71" s="1"/>
  <c r="AC72"/>
  <c r="AF72" s="1"/>
  <c r="AC73"/>
  <c r="AF73" s="1"/>
  <c r="AC74"/>
  <c r="AF74" s="1"/>
  <c r="AC75"/>
  <c r="AF75" s="1"/>
  <c r="AC76"/>
  <c r="AF76" s="1"/>
  <c r="AC77"/>
  <c r="AF77" s="1"/>
  <c r="AC78"/>
  <c r="AF78" s="1"/>
  <c r="AC79"/>
  <c r="AF79" s="1"/>
  <c r="AC80"/>
  <c r="AF80" s="1"/>
  <c r="AC81"/>
  <c r="AF81" s="1"/>
  <c r="AC32"/>
  <c r="AF32" s="1"/>
  <c r="AC11"/>
  <c r="AF11" s="1"/>
  <c r="AC25"/>
  <c r="AF25" s="1"/>
  <c r="AC26"/>
  <c r="AF26" s="1"/>
  <c r="O22" l="1"/>
  <c r="P97" l="1"/>
  <c r="P65"/>
  <c r="P68"/>
  <c r="O14"/>
  <c r="P109"/>
  <c r="O128" l="1"/>
  <c r="O56" l="1"/>
  <c r="P119" l="1"/>
  <c r="O114"/>
  <c r="P114" s="1"/>
  <c r="O112"/>
  <c r="O46" l="1"/>
  <c r="P43"/>
  <c r="O40" l="1"/>
  <c r="P40" l="1"/>
  <c r="O31" l="1"/>
  <c r="O18" l="1"/>
  <c r="P58" l="1"/>
  <c r="O72"/>
  <c r="P39" l="1"/>
  <c r="P37"/>
  <c r="P38"/>
  <c r="O151"/>
  <c r="P151"/>
  <c r="N151"/>
  <c r="K151"/>
  <c r="O149"/>
  <c r="P149"/>
  <c r="N149"/>
  <c r="K149"/>
  <c r="O148"/>
  <c r="P148"/>
  <c r="N148"/>
  <c r="K148"/>
  <c r="P105"/>
  <c r="O147"/>
  <c r="P147"/>
  <c r="N147"/>
  <c r="K147"/>
  <c r="P99"/>
  <c r="O145"/>
  <c r="P145"/>
  <c r="N145"/>
  <c r="K145"/>
  <c r="O144"/>
  <c r="P144"/>
  <c r="N144"/>
  <c r="K144"/>
  <c r="O143"/>
  <c r="P143"/>
  <c r="N143"/>
  <c r="K143"/>
  <c r="O141"/>
  <c r="P141"/>
  <c r="N141"/>
  <c r="K141"/>
  <c r="O138"/>
  <c r="P138"/>
  <c r="N138"/>
  <c r="K138"/>
  <c r="P82"/>
  <c r="P36"/>
  <c r="P35"/>
  <c r="P29"/>
  <c r="P30"/>
  <c r="P28"/>
  <c r="P27"/>
  <c r="K135"/>
  <c r="N135"/>
  <c r="O135"/>
  <c r="P135"/>
  <c r="AC30"/>
  <c r="AF30" s="1"/>
  <c r="AC29"/>
  <c r="AF29" s="1"/>
  <c r="AC28"/>
  <c r="AF28" s="1"/>
  <c r="AC27"/>
  <c r="AF27" s="1"/>
  <c r="AC24"/>
  <c r="AF24" s="1"/>
  <c r="AC23"/>
  <c r="AF23" s="1"/>
  <c r="AC22"/>
  <c r="AF22" s="1"/>
  <c r="AC21"/>
  <c r="AF21" s="1"/>
  <c r="AC20"/>
  <c r="AF20" s="1"/>
  <c r="AC19"/>
  <c r="AF19" s="1"/>
  <c r="AC18"/>
  <c r="AF18" s="1"/>
  <c r="AC17"/>
  <c r="AF17" s="1"/>
  <c r="P11"/>
  <c r="Z128" l="1"/>
  <c r="Z127"/>
  <c r="Z126"/>
  <c r="Z125"/>
  <c r="Z124"/>
  <c r="Z123"/>
  <c r="Z122"/>
  <c r="Z121"/>
  <c r="Z120"/>
  <c r="Z119"/>
  <c r="Z118"/>
  <c r="Z117"/>
  <c r="Z116"/>
  <c r="Z115"/>
  <c r="Z114"/>
  <c r="Z113"/>
  <c r="Z112"/>
  <c r="Z111"/>
  <c r="Z110"/>
  <c r="Z109"/>
  <c r="Z108"/>
  <c r="Z106"/>
  <c r="Z105"/>
  <c r="Z104"/>
  <c r="Z103"/>
  <c r="Z102"/>
  <c r="Z101"/>
  <c r="Z100"/>
  <c r="Z99"/>
  <c r="Z98"/>
  <c r="Z97"/>
  <c r="Z96"/>
  <c r="Z92"/>
  <c r="Z95"/>
  <c r="Z94"/>
  <c r="Z93"/>
  <c r="Z91"/>
  <c r="Z90"/>
  <c r="Z89"/>
  <c r="Z88"/>
  <c r="Z87"/>
  <c r="Z86"/>
  <c r="Z85"/>
  <c r="Z84"/>
  <c r="Z83"/>
  <c r="Z82"/>
  <c r="Z81"/>
  <c r="Z80"/>
  <c r="Z79"/>
  <c r="Z78"/>
  <c r="Z77"/>
  <c r="Z76"/>
  <c r="Z75"/>
  <c r="Z74"/>
  <c r="Z73"/>
  <c r="Z72"/>
  <c r="Z71"/>
  <c r="Z70"/>
  <c r="Z69"/>
  <c r="Z68"/>
  <c r="Z67"/>
  <c r="Z66"/>
  <c r="Z65"/>
  <c r="Z64"/>
  <c r="Z63"/>
  <c r="Z62"/>
  <c r="Z61"/>
  <c r="Z60"/>
  <c r="Z59"/>
  <c r="Z58"/>
  <c r="Z57"/>
  <c r="Z56"/>
  <c r="Z55"/>
  <c r="Z54"/>
  <c r="Z53"/>
  <c r="Z51"/>
  <c r="Z42"/>
  <c r="Z40"/>
  <c r="Z45"/>
  <c r="Z44"/>
  <c r="Z48"/>
  <c r="Z47"/>
  <c r="Z46"/>
  <c r="Z50"/>
  <c r="Z49"/>
  <c r="Z43"/>
  <c r="Z41"/>
  <c r="Z36"/>
  <c r="Z34"/>
  <c r="Z33"/>
  <c r="Z32"/>
  <c r="Z27"/>
  <c r="Z21"/>
  <c r="Z17"/>
  <c r="Z15"/>
  <c r="Z16"/>
  <c r="Z14"/>
  <c r="Z12"/>
  <c r="Z13"/>
  <c r="AC12"/>
  <c r="AF12" s="1"/>
  <c r="AC13"/>
  <c r="AF13" s="1"/>
  <c r="AC15"/>
  <c r="AF15" s="1"/>
  <c r="AC31"/>
  <c r="AF31" s="1"/>
  <c r="AC16"/>
  <c r="AF16" s="1"/>
  <c r="AC14"/>
  <c r="AF14" s="1"/>
</calcChain>
</file>

<file path=xl/sharedStrings.xml><?xml version="1.0" encoding="utf-8"?>
<sst xmlns="http://schemas.openxmlformats.org/spreadsheetml/2006/main" count="938" uniqueCount="623">
  <si>
    <t>Prog</t>
  </si>
  <si>
    <t xml:space="preserve"> IV</t>
  </si>
  <si>
    <t xml:space="preserve"> III</t>
  </si>
  <si>
    <t xml:space="preserve"> II</t>
  </si>
  <si>
    <t xml:space="preserve"> I</t>
  </si>
  <si>
    <t>NOMBRE</t>
  </si>
  <si>
    <t>CUANTIFICACIÓN DE LA META</t>
  </si>
  <si>
    <t>INDICADOR</t>
  </si>
  <si>
    <t>META</t>
  </si>
  <si>
    <t>Equilibrio presupuestal</t>
  </si>
  <si>
    <t>Porcentaje de implementación del sistema de información</t>
  </si>
  <si>
    <t>Porcentaje Valor gestionado de proyectos.</t>
  </si>
  <si>
    <t>Porcentaje de Ocupación</t>
  </si>
  <si>
    <t>Nivel de Satisfacción del Usuario</t>
  </si>
  <si>
    <t>Nivel de avance en la calificación de autoevaluación de estándares de Acreditación</t>
  </si>
  <si>
    <t xml:space="preserve">LÍNEA BASE </t>
  </si>
  <si>
    <t xml:space="preserve"> Oportunidad consulta </t>
  </si>
  <si>
    <t xml:space="preserve">Porcentaje de cumplimiento de meta de facturación </t>
  </si>
  <si>
    <t xml:space="preserve">Porcentaje de cumplimiento de meta de recaudo </t>
  </si>
  <si>
    <t xml:space="preserve">Porcentaje de glosa </t>
  </si>
  <si>
    <t xml:space="preserve">Porcentaje de cumplimiento en informes generados </t>
  </si>
  <si>
    <t>Porcentaje de cumplimiento</t>
  </si>
  <si>
    <t>Porcentaje de cumplimiento vacunación</t>
  </si>
  <si>
    <t>Porcentaje de cumplimiento prácticas adecuadas</t>
  </si>
  <si>
    <t>$ 27.045.454.345 mensuales.</t>
  </si>
  <si>
    <t>Medicina Interna 34,1 días 
Ginecología 15,9 
Obstetricia 17,4 días 
Pediatría 20,1 días
Diciembre</t>
  </si>
  <si>
    <t>7,1%
Facturación Julio de 2017 $26.405´581,537
Glosa recibida al 12/01/2018 $1,874,245,972</t>
  </si>
  <si>
    <t>0,84 Anual 2017
Total Recaudo $351.736´227.466
Total Comprometido $416.597´754.131</t>
  </si>
  <si>
    <t>PROGRAMA</t>
  </si>
  <si>
    <t>Aumentar la facturación por venta de servicios en un 5% frente al promedio mensual del año 2017.</t>
  </si>
  <si>
    <t>mayor o igual a 94%</t>
  </si>
  <si>
    <t xml:space="preserve">0
Fuente: Dirección del Talento Humano </t>
  </si>
  <si>
    <t>Igual o mayor 20%</t>
  </si>
  <si>
    <t>0
Fuente: Informe seguimiento PAG</t>
  </si>
  <si>
    <t xml:space="preserve">CAPS en operación </t>
  </si>
  <si>
    <t>75%
Recaudo: $227.716.192.523
Apropiación Pptal x Vta. De Servicios: $310.776.673.000</t>
  </si>
  <si>
    <t>PLAN TERRITORIAL DE SALUD</t>
  </si>
  <si>
    <t>PROYECTO</t>
  </si>
  <si>
    <t>LÍNEA DE ACCIÓN</t>
  </si>
  <si>
    <t xml:space="preserve">PILAR </t>
  </si>
  <si>
    <t xml:space="preserve">Pilar 1 Igualdad de calidad de vida </t>
  </si>
  <si>
    <t xml:space="preserve">PLAN DE DESARROLLO DISTRITAL </t>
  </si>
  <si>
    <t xml:space="preserve"> Modernización de la infraestructura Física y tecnológica en salud </t>
  </si>
  <si>
    <t xml:space="preserve">Atención integral y eficiente de la salud </t>
  </si>
  <si>
    <t xml:space="preserve">Organización y operación de servicios de salud en redes integradas </t>
  </si>
  <si>
    <t xml:space="preserve">Gestión compartida del riesgo en salud </t>
  </si>
  <si>
    <t xml:space="preserve">Atención integral en salud </t>
  </si>
  <si>
    <t xml:space="preserve">Rutas implementadas. </t>
  </si>
  <si>
    <t xml:space="preserve">Modernización de la infraestructura Física y tecnológica </t>
  </si>
  <si>
    <t>Disminuir al 95% o menos los porcentajes promedio de ocupación de los servicios de urgencias.</t>
  </si>
  <si>
    <t xml:space="preserve">Pago por red con incentivos de desempeño </t>
  </si>
  <si>
    <t xml:space="preserve">Estrategias implementadas </t>
  </si>
  <si>
    <t xml:space="preserve">Cumplimiento  Plan de mejora </t>
  </si>
  <si>
    <t>Cumplimiento de proceso  compras mediante apoyo y liderazgo de EAGAT</t>
  </si>
  <si>
    <t>Plataforma única "Bogotá salud digital"</t>
  </si>
  <si>
    <t>Centro Distrital de Educación e investigación en salud</t>
  </si>
  <si>
    <t>PERIODICIDAD</t>
  </si>
  <si>
    <t>Gestión del evento adverso</t>
  </si>
  <si>
    <t>Mensual</t>
  </si>
  <si>
    <t>Formular e implementar un modelo de atención integral que dé respuesta efectiva a las necesidades en salud de la población.</t>
  </si>
  <si>
    <t xml:space="preserve">
Grado de implementación de estrategias </t>
  </si>
  <si>
    <t xml:space="preserve">Trimestral </t>
  </si>
  <si>
    <t xml:space="preserve">Mensual </t>
  </si>
  <si>
    <t xml:space="preserve">Ejecución programa de dotación </t>
  </si>
  <si>
    <t xml:space="preserve">Anual </t>
  </si>
  <si>
    <t>0
Informes trimestrales 2017 (4)</t>
  </si>
  <si>
    <t>Alcanzar un resultado del equilibrio presupuestal del 0,90.</t>
  </si>
  <si>
    <t>mayor o igual 0,90</t>
  </si>
  <si>
    <t>Anual</t>
  </si>
  <si>
    <t>ACTIVIDADES</t>
  </si>
  <si>
    <t xml:space="preserve">Diseño y operación del modelo de seguimiento (equipo de trabajo y herramientas)  </t>
  </si>
  <si>
    <t>Generación de informes y socialización.</t>
  </si>
  <si>
    <t xml:space="preserve">Implementación de estrategias que permitan alcanzar coberturas útiles de vacunación en las unidades de la Subred Norte </t>
  </si>
  <si>
    <t>Fomentar las prácticas de cuidado y autocuidado en los espacios de vivienda, educativo y público</t>
  </si>
  <si>
    <t>Una campaña trimestral de prevención de quemaduras</t>
  </si>
  <si>
    <t>Socialización de la oferta de servicios a comunidad y EAPB.</t>
  </si>
  <si>
    <t>Socialización del modelo de atención, modelo de prestación y rutas integrales a colaboradores.</t>
  </si>
  <si>
    <t xml:space="preserve">Planificación, ejecución y seguimiento a la estrategia de referenciación comparativa. </t>
  </si>
  <si>
    <t>Generar los términos de referencia para la compra de medicamentos y material médico quirúrgicos acorde a los consumos promedio y las necesidades de la Institución.</t>
  </si>
  <si>
    <t>Realizar los procesos de selección a través de mecanismos virtuales para la compra de medicamentos y material médico quirúrgicos.</t>
  </si>
  <si>
    <t xml:space="preserve">Realizar informe mensual de cumplimiento. </t>
  </si>
  <si>
    <t>Cumplimiento a las directrices de EAGAT para la generación de términos de referencia para la compra de las líneas de material de osteosíntesis, lavandería, alimentación, aseo, vigilancia acorde a los consumos promedio y las necesidades de la Institución.</t>
  </si>
  <si>
    <t>Realizar informe mensual de avance y cumplimiento de acuerdo a cronograma de EAGAT.</t>
  </si>
  <si>
    <t>Implementar el cronograma de puesta en producción de los módulos asistenciales y administrativos del Sistema Integrado de Información.</t>
  </si>
  <si>
    <t>Generar informes mensuales de avance al proceso de implementación de sistema de información.</t>
  </si>
  <si>
    <t xml:space="preserve">Actualizar y gestionar el  proyecto de fortalecimiento de la infraestructura tecnológica del sistema de información. </t>
  </si>
  <si>
    <t xml:space="preserve">Responder y radicar los valores derivados de las glosas y devoluciones anunciadas por los diferentes pagadores según lo determinan las normas. </t>
  </si>
  <si>
    <t>Socialización de hallazgos y generación de  planes de mejora.</t>
  </si>
  <si>
    <t>Redes Integradas de servicios de salud</t>
  </si>
  <si>
    <t>Impactar positivamente la satisfacción del cliente interno, externo y sus familias a través de un modelo de atención integral.</t>
  </si>
  <si>
    <t>Eje 4 Gobierno legítimo</t>
  </si>
  <si>
    <t xml:space="preserve">Gobernanza e influencia local, regional e internacional </t>
  </si>
  <si>
    <t>Institucionalidad, gobernanza y rectoría en salud para Bogotá</t>
  </si>
  <si>
    <t xml:space="preserve">Corresponsabilidad en salud </t>
  </si>
  <si>
    <t xml:space="preserve">Lograr equilibrio operacional de la ESE de manera sostenible. </t>
  </si>
  <si>
    <t>Organización y operación de servicios de salud en redes integradas</t>
  </si>
  <si>
    <t>Priorización de proyectos de inversión en infraestructura y dotación acorde con la propuesta de reorganización de servicios en el marco del AIS-</t>
  </si>
  <si>
    <t>Seguimiento a la ejecución de proyectos en curso.</t>
  </si>
  <si>
    <t>Actualización y priorización de inventario de necesidades de reposición y dotación de equipo biomédico, acorde con la propuesta de reorganización de servicios en el marco del AIS-</t>
  </si>
  <si>
    <t xml:space="preserve">Formulación y/o actualización, ejecución y seguimiento de proyectos de reposición y dotación de equipo biomédico. </t>
  </si>
  <si>
    <t>Bimestral</t>
  </si>
  <si>
    <t>Gestionar las actividades programadas en el plan de ajuste al gasto 2018, de acuerdo a compromisos de disminución de gastos, aumento de facturación y aumento de recaudo.</t>
  </si>
  <si>
    <t>Formulación e implementación de las acciones de mejora correspondientes para alcanzar eficiencia en cada tipología.</t>
  </si>
  <si>
    <t xml:space="preserve">Implementar el 90% de las estrategias derivadas de los informes trimestrales del sistema de costos. </t>
  </si>
  <si>
    <t>Evaluación de estrategias de intervención y socialización de resultados.</t>
  </si>
  <si>
    <t>Evaluación mensual de resultado del equilibrio financiero  e implementación de acciones tendientes a alcanzar la meta definida.</t>
  </si>
  <si>
    <t>Organización de portafolio de servicios acorde a necesidades de población y mercado.</t>
  </si>
  <si>
    <t>Ejecución de plan de ventas</t>
  </si>
  <si>
    <t>100%
1,610 Eventos adversos 2017</t>
  </si>
  <si>
    <t>Porcentaje de peticiones por gestión deshumanizada.</t>
  </si>
  <si>
    <t xml:space="preserve">Ejecución de acciones de mejora o correctivas </t>
  </si>
  <si>
    <t>OBJETIVO ESTRATÉGICO</t>
  </si>
  <si>
    <t xml:space="preserve">Investigación científica  e innovación al servicio de la salud </t>
  </si>
  <si>
    <t xml:space="preserve">Actualización y modernización de la infraestructura física, tecnológica y de comunicaciones en salud </t>
  </si>
  <si>
    <t>Socialización y aplicación de  resultados de acciones de mejora - aprendizaje institucional.</t>
  </si>
  <si>
    <t>Evaluación periódica de la satisfacción del usuario y socialización de resultados.</t>
  </si>
  <si>
    <t>Implementación de acciones tendientes a disminuir la insatisfacción en el usuario.</t>
  </si>
  <si>
    <t>Entidad asesora de gestión administrativa y técnica</t>
  </si>
  <si>
    <t>Redes Integradas de Servicios e Salud</t>
  </si>
  <si>
    <t>Disminuir la glosa definitiva a porcentaje igual o inferior al 5%.</t>
  </si>
  <si>
    <t>Formulación de estrategias de intervención derivadas de informes de costos.</t>
  </si>
  <si>
    <t xml:space="preserve">Porcentaje de pacientes canalizados efectivamente </t>
  </si>
  <si>
    <t>Oportunidad de Atención de triage III</t>
  </si>
  <si>
    <t xml:space="preserve">Habilitación y acreditación de calidad de los servicios de salud </t>
  </si>
  <si>
    <t>Generación de acciones de mejora para disminuir las peticiones por atención deshumanizada.</t>
  </si>
  <si>
    <t xml:space="preserve">12%  - 651 quejas </t>
  </si>
  <si>
    <t>Seguimiento mensual a las metas de facturación por cada uno de los procesos asistenciales.</t>
  </si>
  <si>
    <t>Alcanzar un recaudo promedio mensual del 87% a través de la implementación de estrategias de recaudo sobre la cartera de la Subred Norte.</t>
  </si>
  <si>
    <t xml:space="preserve">Aplicar todas las estrategias de gestión y de recaudo sobre toda la  cartera de la Subred Norte en etapa persuasiva contempladas en el Manual de cartera. </t>
  </si>
  <si>
    <t>Realizar cruces contables con los pagadores con el fin de depurar la cartera.</t>
  </si>
  <si>
    <t>Aplicar el cobro coactivo a pagadores que no cumplan con los pagos y/o compromisos de pago.</t>
  </si>
  <si>
    <t>Análisis de información, socialización a equipos de salud y definición de acciones de  mejora para alcanzar la meta de atención de triage III.</t>
  </si>
  <si>
    <t>Fortalecimiento de reporte  de sucesos inseguros en la Subred Norte.</t>
  </si>
  <si>
    <t xml:space="preserve">Análisis  de los eventos adversos clasificados en la institución. </t>
  </si>
  <si>
    <t>Análisis causal de peticiones presentadas por atención deshumanizada y socialización.</t>
  </si>
  <si>
    <t xml:space="preserve">Realizar la medición/evaluación de la cultura organizacional.  </t>
  </si>
  <si>
    <t>Socializar resultados y construir participativamente el plan de intervención.</t>
  </si>
  <si>
    <t>Implementación de plan de intervención.</t>
  </si>
  <si>
    <t>Porcentaje de proyectos ejecución.</t>
  </si>
  <si>
    <t>Suscripción de convenios para ejecución de proyectos de inversión.</t>
  </si>
  <si>
    <t>Formulación/actualización de proyectos de inversión e inscripción en BPP.</t>
  </si>
  <si>
    <t xml:space="preserve">Validar la medición de la oportunidad de atención para triage III, generando  estrategias de captura del dato </t>
  </si>
  <si>
    <t>Realización de evento científico distrital.</t>
  </si>
  <si>
    <t>Ejecución y publicación de un (1) proyecto de investigación.</t>
  </si>
  <si>
    <t>Suscripción e implementación de convenio  para evento internacional  de Médicos por la Paz - Colombia 2018.</t>
  </si>
  <si>
    <t>2   campañas de educación dirigidas a todo público.
1 evento académico intrainstitucional
Participación en evento de médicos por la paz</t>
  </si>
  <si>
    <t>Implementación de actividades del programa de humanización.</t>
  </si>
  <si>
    <t>Mantener un indice de percepción de la satisfacción del usuario en 94%.</t>
  </si>
  <si>
    <t>Índice de satisfacción 94% 
Fuente: Informe anual de Satisfacción</t>
  </si>
  <si>
    <t>Desarrollo de la metodología de acreditación en su segundo ciclo.</t>
  </si>
  <si>
    <t>Conformación del semillero de investigación Subred Norte.</t>
  </si>
  <si>
    <t>Alcanzar un cumplimiento del 90% de las acciones de  mejora  identificadas en la implementación  del nuevo modelo de remuneración PGPAFED.</t>
  </si>
  <si>
    <t>Evaluación  de resultados de la contratación con el nuevo modelo de remuneración.</t>
  </si>
  <si>
    <t>No. de actividades ejecutadas/Número de actividades programadas</t>
  </si>
  <si>
    <t xml:space="preserve">Alcanzar una participación igual o menor al  8%  en las quejas presentadas por los usuarios cuya causa es la atención deshumanizada. </t>
  </si>
  <si>
    <t xml:space="preserve">Responder satisfactoriamente el 90% de las acciones correctivas o planes de mejora derivados de los informes de las Juntas Asesoras Comunitarias -JAC-. </t>
  </si>
  <si>
    <t>Asistencia técnica a las JAC.</t>
  </si>
  <si>
    <t xml:space="preserve">Implementación de acciones de mejora para responder a las recomendaciones de las JAC. </t>
  </si>
  <si>
    <t>Número de actividades ejecutadas/Número de actividades programadas</t>
  </si>
  <si>
    <t>Seguimiento mensual a metas de venta de servicios programada.</t>
  </si>
  <si>
    <t xml:space="preserve">Desarrollar de ocho  (8) eventos académicos y/o de investigación en las líneas definidas por la Subred. </t>
  </si>
  <si>
    <t>Número de usuarios satisfechos / Número de usuarios encuestados</t>
  </si>
  <si>
    <t xml:space="preserve">Plan  de ventas 
90% </t>
  </si>
  <si>
    <t>Estrategias implementadas en la vigencia/Estategias intervención programadas para la vigencia</t>
  </si>
  <si>
    <t>Valor total adquisiciones de medicamentos y material
médico quirúrgico realizadas mediante mecanismos de compras conjuntas a través de Cooperativas de ESE y/o mecanismos electrónicos/Valor total
de adquisiciones de la ESE por medicamentos y material médico quirúrgico.</t>
  </si>
  <si>
    <t>Valor total adquisiciones de líneas realizados con liderazgo de EAGAT/Valor total
de recursos asignados para el proceso.</t>
  </si>
  <si>
    <t>Número de actividades realizadas / Número de actividades programadas</t>
  </si>
  <si>
    <t xml:space="preserve">Valor facturación de periodo/Meta de facturación del periodo </t>
  </si>
  <si>
    <t>Recaudo por venta de servicios /Apropiación del presupuesto por venta de servicios</t>
  </si>
  <si>
    <t xml:space="preserve">Glosa definitiva aceptada/facturación en el periodo auditado </t>
  </si>
  <si>
    <t>Número de estrategias implementadas/Número de estrategias propuestas</t>
  </si>
  <si>
    <t xml:space="preserve">Equipos biomédicos adquiridos/ Equipos biomédicos programados </t>
  </si>
  <si>
    <t>Diseño técnico  de las  3 Rutas Integrales de Atención RIAS (EPOC, Salud Mental-SPA, Enfermedades Infecciosas) para la articulación entre unidades primarias (21), CAPS (5) y UMHES (4).</t>
  </si>
  <si>
    <t>Implementación de las 7 Rutas Integrales de Atención Definidas</t>
  </si>
  <si>
    <t>Seguimiento mensual al tablero de indicadores de las RIAS</t>
  </si>
  <si>
    <t>Canalización efectiva de pacientes a las RIAS.</t>
  </si>
  <si>
    <t>Análisis de Resultados de Canalización</t>
  </si>
  <si>
    <t>Canalizar efectivamente el 60% de la población objeto de atención identificada (Capital Salud y PPNA) .</t>
  </si>
  <si>
    <t>Implementar las acciones de mejora tendientes a alcanzar las metas de oportunidad en consulta especializada</t>
  </si>
  <si>
    <t>Realizar auditoria de pertinencia sobre ingresos a observación de urgencias.</t>
  </si>
  <si>
    <t xml:space="preserve">Promedio estancias en servicio de urgencias </t>
  </si>
  <si>
    <t>Días Estancia Hospitalaria</t>
  </si>
  <si>
    <t>Implementar el servicio de Alta Temprana, a través del Programa de Hospitalización Domiciliaria</t>
  </si>
  <si>
    <t>Realizar seguimiento a la operación del servicio de hospitalización domiciliaria en la Subred Norte</t>
  </si>
  <si>
    <t>Capacitar a profesionales de los servicios de Medicina Interna y Quirúrgicos en Guías de Atención</t>
  </si>
  <si>
    <t>Implementación de Servicios Especializados</t>
  </si>
  <si>
    <t>Realizar la apertura de 16 nuevas camas en la UMHES Simón Bolívar</t>
  </si>
  <si>
    <t>Seguimiento y análisis de producción y eficiencia de los nuevos servicios</t>
  </si>
  <si>
    <t xml:space="preserve">Mejorar la oportunidad en la asignación de citas para las consulta especializadas (medicina interna- 15 días, Gineco-obstetricia - 8 días y pediatría 5 días) dando cumplimiento durante el año 2018 a los estándares establecidos en la norma. </t>
  </si>
  <si>
    <t>4 Rutas Diseñadas en Implementación
(Crónicos-Cardio Cerebro Vascular Metabólico, Materno Infantil, Cáncer, Salud Mental-Psicosocial y Comportamiento)</t>
  </si>
  <si>
    <t xml:space="preserve">26.7% de canalización efectiva de 183.776 pacientes identificados 
</t>
  </si>
  <si>
    <t xml:space="preserve">Realizar análisis mensual al comportamiento de la agenda de consulta externa de especialidades </t>
  </si>
  <si>
    <t xml:space="preserve">Capacitación del talento humano en guías de práctica clínica. </t>
  </si>
  <si>
    <t>Realizar evaluación mensual y  definir acciones de mejora para asegurar cumplimiento de lo planeado.</t>
  </si>
  <si>
    <t>Implementación de programa de auditoría a   facturación de los servicios ofertados.(concurrentes y de cuentas )</t>
  </si>
  <si>
    <t>%</t>
  </si>
  <si>
    <t>Programación del recurso humano de acuerdo con variación de la demanda.</t>
  </si>
  <si>
    <t>Unificación del proceso de atención de urgencias.</t>
  </si>
  <si>
    <t>Seguimiento e intervención  a los tiempos a través del proceso de atención.</t>
  </si>
  <si>
    <t>ID ACTIVIDAD</t>
  </si>
  <si>
    <t>1|1</t>
  </si>
  <si>
    <t>1|2</t>
  </si>
  <si>
    <t>1|3</t>
  </si>
  <si>
    <t>1|4</t>
  </si>
  <si>
    <t>1|5</t>
  </si>
  <si>
    <t>1|6</t>
  </si>
  <si>
    <t>1|7</t>
  </si>
  <si>
    <t>1|8</t>
  </si>
  <si>
    <t>1|9</t>
  </si>
  <si>
    <t>1|10</t>
  </si>
  <si>
    <t>1|11</t>
  </si>
  <si>
    <t>1|12</t>
  </si>
  <si>
    <t>1|13</t>
  </si>
  <si>
    <t>1|14</t>
  </si>
  <si>
    <t>1|15</t>
  </si>
  <si>
    <t>1|16</t>
  </si>
  <si>
    <t>1|17</t>
  </si>
  <si>
    <t>1|18</t>
  </si>
  <si>
    <t>1|19</t>
  </si>
  <si>
    <t>2|1</t>
  </si>
  <si>
    <t>2|2</t>
  </si>
  <si>
    <t>2|3</t>
  </si>
  <si>
    <t>2|4</t>
  </si>
  <si>
    <t>2|5</t>
  </si>
  <si>
    <t>3|1</t>
  </si>
  <si>
    <t>3|2</t>
  </si>
  <si>
    <t>3|3</t>
  </si>
  <si>
    <t>3|4</t>
  </si>
  <si>
    <t>3|5</t>
  </si>
  <si>
    <t>3|6</t>
  </si>
  <si>
    <t>3|7</t>
  </si>
  <si>
    <t>3|8</t>
  </si>
  <si>
    <t>3|9</t>
  </si>
  <si>
    <t>3|10</t>
  </si>
  <si>
    <t>PONDERACION</t>
  </si>
  <si>
    <t>CUMPLIMIENTO</t>
  </si>
  <si>
    <t>Realizar análisis, plan de mejora y seguimiento  al 100% de los eventos adversos presentados en la Subred Norte.</t>
  </si>
  <si>
    <t>Cumplir en un 100% las medidas y acciones definidas en el Plan de Ajuste al Gasto 2018.</t>
  </si>
  <si>
    <t>Realizar los procesos de selección de proveedores a través del mecanismo virtuales (compras conjuntas, Cooperativas ESE, mecanismos electrónicos, Colombia compra eficiente  y EAGAT) para la compra de medicamentos y material médico quirúrgicos que permitan alcanzar un 50% de ejecución de los recursos asignados presupuestalmente por estos medios.</t>
  </si>
  <si>
    <t>Realizar  procesos de selección  con el liderazgo y apoyo de EAGAT para las líneas de material de osteosíntesis, lavandería, alimentación, aseo, vigilancia, alcanzando como mínimo el 40% de ejecución de los recursos asignados para cada proceso.</t>
  </si>
  <si>
    <t>Disminuir en un promedio del 10% el indicador de promedio día estancia en los servicios de hospitalización medicina interna - quirúrgicos.</t>
  </si>
  <si>
    <t xml:space="preserve">Incrementar en un   20%  los resultados de autoevaluación  de los estándares de acreditación en salud, dando cumplimiento al 80% de los planes de mejora a través de la gestión en el proceso de mejora continua. </t>
  </si>
  <si>
    <t>Implementar el 90% la totalidad de los módulos del Sistema Integrado de Información Hospitalario de la Subred.</t>
  </si>
  <si>
    <t>Implementación del plan de bienestar</t>
  </si>
  <si>
    <t xml:space="preserve">Implementación del plan de incentivos </t>
  </si>
  <si>
    <t xml:space="preserve">Implementación del plan de capacitación institucional </t>
  </si>
  <si>
    <t>Seguimiento mensual y generación de acciones  mejora.</t>
  </si>
  <si>
    <t xml:space="preserve">Trastornos psicosociales y del comportamiento
Seguimiento 80% - Adherencia 38%
</t>
  </si>
  <si>
    <t>Condición Materno perinatal 
Seguimiento 70% - Adherencia 64,6%</t>
  </si>
  <si>
    <t>Enfermedades infecciosas 
Seguimiento 0% - Adherencia 0%</t>
  </si>
  <si>
    <t>Violencia relacionada con el conflicto, armado, Violencia de género, Violencia por conflictividad social 
Seguimiento 70% - Adherencia 49%</t>
  </si>
  <si>
    <t xml:space="preserve">Seguimiento y verificación de adherencia de ruta a pacientes inscritos por cada una de ellas </t>
  </si>
  <si>
    <t>Seguimiento mensual al comportamiento de indicadores y socializar resultados.</t>
  </si>
  <si>
    <t>Participación en análisis de vigilancia de los casos presentados y generación de planes de mejora.</t>
  </si>
  <si>
    <t>Diagnóstico situacional ESE 2016</t>
  </si>
  <si>
    <t>Semestral</t>
  </si>
  <si>
    <t xml:space="preserve">28,8 minutos Triage II </t>
  </si>
  <si>
    <t>Socialización de resultados del diagnóstico</t>
  </si>
  <si>
    <t xml:space="preserve">Cumplimiento de análisis. </t>
  </si>
  <si>
    <t>Realizar mensualmente análisis y ajustes de  la capacidad instalada,  de acuerdo al recursos y comportamiento de la demanda.</t>
  </si>
  <si>
    <t xml:space="preserve">Generación de propuesta de ajuste de servicios de acuerdo a resultados del análisis. </t>
  </si>
  <si>
    <t>Seguimiento ajustes realizados.</t>
  </si>
  <si>
    <t>Fortalecer la competencia del 40% de servidores y colaboradores   en el modelo AIS.</t>
  </si>
  <si>
    <t xml:space="preserve">Formulación e implementación de programa de capacitación en modelo AIS </t>
  </si>
  <si>
    <t>Evalaución de las competencias en el tema de capacitación.</t>
  </si>
  <si>
    <t xml:space="preserve">Realizar inversión en  infraestructura tecnología para soportar la implementación del sistema de información por valor de $3,800 millones. </t>
  </si>
  <si>
    <t>Mortalidad materna 22,1
Mortalidad perinatal 12,1
Mortalidad infantil 8,1
Mortalidad desnutrición 0 
Fecundidad mujeres 10- 14 años 0,6 
Fecundidad mujeres 15- 19 años 24,1
Bajo peso al nacer  4,92</t>
  </si>
  <si>
    <t xml:space="preserve">Cumplimiento de efectividad </t>
  </si>
  <si>
    <t xml:space="preserve">Evaluación de efectividad de la socialización </t>
  </si>
  <si>
    <t>Generación de acciones de mejora para alcanzar meta propuesta.</t>
  </si>
  <si>
    <t xml:space="preserve">Elaboración de informe trimestral  consolidado 2017 de conformidad a la Resolución DDC000002/2014.
</t>
  </si>
  <si>
    <t>Estandarización del análisis de costos  e intervención sobre las fluctuaciones encontradas.</t>
  </si>
  <si>
    <t>Diagnóstico de población objeto y mercado - competencia. (Revisar  riesgo y compromisos de pago de EPS contributivas).</t>
  </si>
  <si>
    <t>Formular y ejecutar el 90% del plan de ventas 2018 basado en diagnóstico de población  objeto y la cuantificación de metas en la venta de servicios por los diferentes segmentos y EAPB.</t>
  </si>
  <si>
    <t>Organización de bases de datos y Georreferenciación de la población.</t>
  </si>
  <si>
    <r>
      <t xml:space="preserve">94%
</t>
    </r>
    <r>
      <rPr>
        <sz val="14"/>
        <color theme="0"/>
        <rFont val="Calibri"/>
        <family val="2"/>
        <scheme val="minor"/>
      </rPr>
      <t>Fuente: Informe de vacunación</t>
    </r>
  </si>
  <si>
    <r>
      <t xml:space="preserve">5 CAPS
Suba, San Cristóbal, Verbenal, Emaús y Chapinero
</t>
    </r>
    <r>
      <rPr>
        <sz val="14"/>
        <color theme="0"/>
        <rFont val="Calibri"/>
        <family val="2"/>
        <scheme val="minor"/>
      </rPr>
      <t>Fuente: Dirección Ambulatorios</t>
    </r>
  </si>
  <si>
    <t xml:space="preserve">Alcanzar un 90% de efectividad en la  comunicación a cliente interno y externo informando modelo AIS y la reorganización de servicios. </t>
  </si>
  <si>
    <t>trastornos mentales y del comportamiento debido a uso de sustancias psicoactivas y adicciones 
Seguimiento 50% - Adherencia 45%</t>
  </si>
  <si>
    <t xml:space="preserve">35,56 horas </t>
  </si>
  <si>
    <t>Ejecutar proyecto de licenciamiento SDS - FFDS.</t>
  </si>
  <si>
    <t>24 H</t>
  </si>
  <si>
    <t>5,4  medicina interna 
4,8 Quirúrgicos</t>
  </si>
  <si>
    <t>Mantener la oportunidad de atención en la consulta de urgencias  en un tiempo igual o  menor a 90 minutos para pacientes clasificados como triage III.</t>
  </si>
  <si>
    <t>Alcanzar estancias no mayores a 24 horas en servicio de urgencias.</t>
  </si>
  <si>
    <t xml:space="preserve">Realizar un  diagnóstico de la población del área de influencia  (especialmente extranjeros) analizando su impacto en la prestación de servicios de salud. </t>
  </si>
  <si>
    <t>Diagnóstico elaborado</t>
  </si>
  <si>
    <t xml:space="preserve">Iniciar ejecución de tres (3) proyectos de inversión que contribuyan al desarrollo de la propuesta de reorganización de servicios en el  marco del AIS. </t>
  </si>
  <si>
    <t>Ejecutar  en un 90%  el programa de  reposición de equipo biomédico conforme a la priorización y los recursos de la vigencia.</t>
  </si>
  <si>
    <t>Implementar siete (7) rutas integrales de  atención en salud - RIAS en la Subred Norte.</t>
  </si>
  <si>
    <t xml:space="preserve">Alcanzar un seguimiento del 100% y una adherencia promedio del 60%  en las siete (7) rutas integrales de atención en salud.
Crónicos: Cardio – Cerebro – Vascular – Metabólico 60%
Infecciones respiratorias crónicas 50% 
Trastornos mentales y del comportamiento debido a uso de sustancias psicoactivas y adicciones 60%
Trastornos psicosociales y del comportamiento 60%
Cáncer 90%
Condición Materno perinatal 85%
Enfermedades infecciosas 45%
Violencia relacionada con el conflicto, armado, Violencia de género, Violencia por conflictividad social 45%. </t>
  </si>
  <si>
    <t>Lograr y mantener coberturas de vacunación iguales o mayores al 95% en la población sujetos de programa en las IPS publicas.</t>
  </si>
  <si>
    <t>Mantener o disminuir los indicadores trazadores de mortalidad (Localidades). 
Mortalidad materna  26,6  por 100.000 NV
Mortalidad perinatal 12,3  por 1.000 NV+Fetales
Mortalidad infantil 8,16 por 1.000 NV 
Mortalidad desnutrición 0 muertes  por 100.000 Menores 5 años
Fecundidad mujeres 10- 14 años disminuir  en 6%
Fecundidad mujeres 15- 19 años disminuir  en 6%
Bajo peso al nacer  LB: 12,1% en NV.</t>
  </si>
  <si>
    <t>Incrementar el despliegue de estrategias a 42,600 personas  que cuentan con prácticas adecuadas de cuidado y autocuidado en el plan de intervenciones colectivas (espacios de vivienda, educativo y público).</t>
  </si>
  <si>
    <t>Ejecutar el 80% de las acciones establecidas para la reorganización y fortalecimiento de servicios en las  Unidad Médicas Hospitalarias  Especializadas de la Subred UMHES.</t>
  </si>
  <si>
    <t>Operar la estrategia de  Centros de Atención primaria - CAPS en tres (3)  nuevas unidades de atención (CAPS transitorios).</t>
  </si>
  <si>
    <t>Implementar en un 90% las estrategias programadas para la vigencia  producto de la medición de cultura organizacional.</t>
  </si>
  <si>
    <t>PLAN OPERATIVO ANUAL 2018</t>
  </si>
  <si>
    <t>FORMULA DEL INDICADOR</t>
  </si>
  <si>
    <t>RESPONSABLE</t>
  </si>
  <si>
    <t xml:space="preserve">Sandra Bocarejo y Inés Patricia Martínez
Dirección Gestión del Riesgo - Dirección Servicios Ambulatorios </t>
  </si>
  <si>
    <t>Sandra Bocarejo
Dirección Gestión del Riesgo</t>
  </si>
  <si>
    <t>Inés Patricia Martínez Dirección Servicios Ambulatorios</t>
  </si>
  <si>
    <t>Mauricio Cuberos
Dirección  servicio de  Urgencias</t>
  </si>
  <si>
    <t xml:space="preserve">Clara Prada
Dirección Servicios Hospitalarios
Daniel Blanco 
Dirección de complementarios </t>
  </si>
  <si>
    <t xml:space="preserve">Clara Prada 
Dirección de Hospitalización </t>
  </si>
  <si>
    <t xml:space="preserve">María Eugenia Rodríguez Calidad </t>
  </si>
  <si>
    <t>María Eugenia Rodríguez Calidad</t>
  </si>
  <si>
    <t>Mariela Araque Peña Desarrollo Institucional</t>
  </si>
  <si>
    <t>Nancy Tabares e Inés Patricia Martínez Subgerencia de Prestación de Servicios
Dirección Servicios  Ambulatorios</t>
  </si>
  <si>
    <t>Norberto Ruiz
Sistema de Información TIC</t>
  </si>
  <si>
    <t>Yaneth Rodríguez Dirección Administrativa</t>
  </si>
  <si>
    <t>Mariela Araque - Desarrollo Institucional</t>
  </si>
  <si>
    <t>Claudia Galan  - Gestión del Conocimiento</t>
  </si>
  <si>
    <t>Fanny Rugeles Participación Comunitaria y Atención al C</t>
  </si>
  <si>
    <t>Alicia Martinez  Talento Humano</t>
  </si>
  <si>
    <t>Generación e implementación estrategias de comunicación que aseguren la socialización del modelo de  atención.</t>
  </si>
  <si>
    <t>Yuli Lozano - Mercadeo</t>
  </si>
  <si>
    <t>Álvaro Galvis
Dirección de Contratación</t>
  </si>
  <si>
    <t>Alexander - Comunicaciones</t>
  </si>
  <si>
    <t>Cumplimiento de metas de mortalidad en indicadores trazadores.</t>
  </si>
  <si>
    <t>Fortalecimiento de las RIAS orientándolas al impacto de los indicadores trazadores.</t>
  </si>
  <si>
    <t>Menor o Igual a 90 Min</t>
  </si>
  <si>
    <t>Fortalecer la especialización de la Unidad Simón Bolívar en tres servicios (implementación unidad renal, hemodinámica y  16 nuevas unidades  Cuidado Crítico Adultos) .</t>
  </si>
  <si>
    <t>No hay Unidad Renal
No hay Hemodinámica
23 camas de UCI adulto</t>
  </si>
  <si>
    <t>Implementar la Unidad Renal y hemodinámica en  UMHES Simón Bolívar</t>
  </si>
  <si>
    <t>Cumplimiento de las acciones de reorganización y fortalecimiento UMHES</t>
  </si>
  <si>
    <t>35.500 personas vigencia 2017 ver aumento</t>
  </si>
  <si>
    <t xml:space="preserve">Autoevaluación 2017: 1.0
Cumplimiento planes de mejora   91,6%
</t>
  </si>
  <si>
    <t>1 proyecto de infraestructura (Urgencias Suba) 
1 proyecto de dotación ( No control)                            1 proyecto de sistemas de información (Informix)</t>
  </si>
  <si>
    <t>Cumplimiento programa de capacitacion modelo  AIS</t>
  </si>
  <si>
    <t>Proporción de medicamentos y material médico quirúrgico adquirido mediante compras conjuntas, coopertivas ESE, mecanismo electronicos, EAGAT</t>
  </si>
  <si>
    <t>Elaborar e implementación del  plan de organización y fortalecimiento de servicios en las  Unidad Médicas Hospitalarias  Especializadas de la Subred UMHES</t>
  </si>
  <si>
    <t>Realización de diagnóstico de la población de área de influencia, con analisis de las variables que intervienen en el proceso.</t>
  </si>
  <si>
    <t>Generación de análisis mensual de capacidad instalada versus producción.</t>
  </si>
  <si>
    <t>Plan Operativo Anual 2018 aprobado mediante acuerdo 001 de 2018  de la Junta Directiva de la Subred Integrada de Servicios de Salud Norte E.S.E</t>
  </si>
  <si>
    <t>PRODUCTO</t>
  </si>
  <si>
    <t>ACCIONES</t>
  </si>
  <si>
    <t>Informe de oportunidad gestión de la información</t>
  </si>
  <si>
    <t>indicador 1552</t>
  </si>
  <si>
    <t xml:space="preserve">Mesas de trabajo entre la Dirección de servicios Ambulatorios. </t>
  </si>
  <si>
    <t>Informe ejecutivo Word y base en excel, actas de reunión.</t>
  </si>
  <si>
    <t>Mesas de trabajo entre la Dirección de servicios Ambulatorios y Gestión de la información.</t>
  </si>
  <si>
    <t xml:space="preserve">Planeación e implementación de tres CAPS transitorios. (Fray, Gaitana y Calle 80) </t>
  </si>
  <si>
    <t>Apertura de Agendas e Inscripción de CAPS ante la SDS</t>
  </si>
  <si>
    <t>acta de reunión con juntas asesoras comunitarias, Socialización boletin de la Subred y socialización con gestión del riesgo y atención al usuario.</t>
  </si>
  <si>
    <t>Documento en word donde se muestra la planeación para la implementación de los tres CAPS</t>
  </si>
  <si>
    <t>Reunión de la dirección de Servicios Ambulatorios para la planeación de la implementacion de CAPS.</t>
  </si>
  <si>
    <t>Mesas de trabajo con participación comunitaria, gestión del riesgo y comunicaciones.</t>
  </si>
  <si>
    <t>Número de CAPS implementados/ Número de CAPS programados</t>
  </si>
  <si>
    <t xml:space="preserve">Documento por Ruta y Actas de socialización  </t>
  </si>
  <si>
    <t>Documento por cada ruta</t>
  </si>
  <si>
    <t>Actas de socialización de las rutas</t>
  </si>
  <si>
    <t>Tablero de indicadores</t>
  </si>
  <si>
    <t xml:space="preserve">Actas de mesa de trabajo </t>
  </si>
  <si>
    <t>Reuniones con las diferentes direcciones.</t>
  </si>
  <si>
    <t>Construcción de tablero de indicadores y definición de los indicadores.</t>
  </si>
  <si>
    <t>Rutas implementadas / Rutas programadas</t>
  </si>
  <si>
    <t>Documento e Informe ejecutivo de canalizaciones</t>
  </si>
  <si>
    <t>Número de pacientes adheridos en la ruta/Número de pacientes inscritos en la ruta</t>
  </si>
  <si>
    <t>Documento de diseño</t>
  </si>
  <si>
    <t>Informe ejecutivo</t>
  </si>
  <si>
    <t>Informe de seguimiento por ruta e Informe de adherencia por ruta</t>
  </si>
  <si>
    <t>Informe de vacunación con analisis de IPS Publicas</t>
  </si>
  <si>
    <t>Número de dosis aplicada/Número de dosis programadas</t>
  </si>
  <si>
    <t>Informe ejecutivo de vacunación</t>
  </si>
  <si>
    <t>Informe de indicadores trazadores</t>
  </si>
  <si>
    <t>Informe de analisis de los casos</t>
  </si>
  <si>
    <t>Indicadores trazadores cumplidos/Indicadores trazadores del plan de desarrollo</t>
  </si>
  <si>
    <t>Analisis de vacunación terceras de polio menor de un año y triple viral de un año.</t>
  </si>
  <si>
    <t>Informe de practicas adecuadas</t>
  </si>
  <si>
    <t>Número de personas con practicas adecuadas/población objeto</t>
  </si>
  <si>
    <t>Informe de practicas de cuidado</t>
  </si>
  <si>
    <t>Sandra Bocarejo
Dirección Gestión del Riesgo y Yuli Lozano - Mercadeo</t>
  </si>
  <si>
    <t xml:space="preserve">Informe trimestral que incluya el analisis y resultados de las acciones adelantadas </t>
  </si>
  <si>
    <t>Entrega del informe mensual de satisfacción y SDQS
socialización del informe de satisfacción y del SDQS a los lideres de cada area
Mesa de socialización y seguimiento de los resultados obtenidos en la medición de satisfacción y SDQS, con el acompañamiento del área de calidad y los procesos involucrados.</t>
  </si>
  <si>
    <t>En primer trimestre informe que consolidado de las oportunidades de mejora con el planteamiento de línea base</t>
  </si>
  <si>
    <t>Informe consolidado oportunidades de mejora Subrednorte.</t>
  </si>
  <si>
    <t>Informe balance de mejoramiento trimestral</t>
  </si>
  <si>
    <t>Proyeccion del informe de consolidación de las actas de compromiso de las cinco Juntas Asesoras Comunitarias</t>
  </si>
  <si>
    <t>Mesa de socialización y seguimiento de los resultados obtenidos  con el acompañamiento del área de calidad y los procesos involucrados</t>
  </si>
  <si>
    <t xml:space="preserve"> Informe trimestral del Programa de Humanización</t>
  </si>
  <si>
    <t xml:space="preserve">Socialización del Informe trimestral que incluya el analisis y resultados de las acciones adelantadas </t>
  </si>
  <si>
    <t>En mesa de socialización y seguimiento con el acompañamiento del área de calidad y procesos involucrados</t>
  </si>
  <si>
    <t>Mesa de socialización y seguimiento de los resultados obtenidos en la medición de satisfacción y SDQS, con el acompañamiento del área de calidad y los procesos</t>
  </si>
  <si>
    <t>Informe trimestral del programa de Humanización</t>
  </si>
  <si>
    <t xml:space="preserve">Número de peticiones  por atención deshumanizada/Número de quejas totales del periodo </t>
  </si>
  <si>
    <t>Acciones incluidas en el programa de Humanización.</t>
  </si>
  <si>
    <t>Programar los temas de los foros trimestralmente, los conferencistas y definir los temas específicos, Programación logística del evento,  Realizar convocatoria y Ejecutar el evento y elaborar las memorias</t>
  </si>
  <si>
    <t>Evento cientifico realizado</t>
  </si>
  <si>
    <t xml:space="preserve">Semillero conformado </t>
  </si>
  <si>
    <t>Convenio suscrito con Médicos por la paz</t>
  </si>
  <si>
    <t>Campañas realizadas</t>
  </si>
  <si>
    <t>Proyecto de investigación publicado</t>
  </si>
  <si>
    <t>Definir conferencista, temáticas e invitarlos, Estructurar programa del evento, Organizar la logística del evento, Realizar la convocatoria del evento, Ejecutar el evento y elaborar las memorias</t>
  </si>
  <si>
    <t>Hacer seguimiento a los proyectos de investigación de la Subred, con el fin de identificar los que están en proceso de publicación y Presentar el proyecto ante una revista para su publicación</t>
  </si>
  <si>
    <t>Realizar encuesta para identificar investigadores en la subred, Realizar la convocatoria a nivel de la subred, Estructurar el programa de formación de investigadores, Capacitar a los investigadores identificados que conformaran el semillero  y Formular un  proyecto de investigación</t>
  </si>
  <si>
    <t>Revisión del convenio por la oficina jurídica de la subred  y Enviar a firma de la gerencia</t>
  </si>
  <si>
    <t xml:space="preserve">Informe final del evento academico y convenio firmado </t>
  </si>
  <si>
    <t>Programa de capacitación en modelo AIS (Ficha tecnica)</t>
  </si>
  <si>
    <t>Resultados indicadores sobre el programa de capacitacion modelo AIS</t>
  </si>
  <si>
    <t xml:space="preserve">1. Elaboracion ficha tecnica
2. Elaboracion de las unidades a desarrollar
3. Activacion en Moodle
</t>
  </si>
  <si>
    <t xml:space="preserve">1. Evalaucion de actividades
2. Presentar  informe periodico de resultados </t>
  </si>
  <si>
    <t>Informe de cumplimiento de capacitaciones modelo AIS</t>
  </si>
  <si>
    <t>Informe resultados</t>
  </si>
  <si>
    <t>Plan de Accion</t>
  </si>
  <si>
    <t>Registro de acciones realizadas, soporte de capacitación</t>
  </si>
  <si>
    <t>Registros de la capacitacion virtual o presencial</t>
  </si>
  <si>
    <t>Registros de acciones realizadas  frente a las programadas</t>
  </si>
  <si>
    <t>Plan de comunicaciones internas Gestion del talento Humano</t>
  </si>
  <si>
    <t>Registro de acciones realizadas  frente a las programadas</t>
  </si>
  <si>
    <t xml:space="preserve">1. Construir encuesta virtual a partir de  los descriptores de cultura con el grupo directivo. Red.
2. Preparación Lanzamiento Virtual Encuesta Cultura
Red.
3. Encuesta Virtual Cultura (Percepción Cuantitativa
Cultura) al 90% de los funcionarios
4. Grupos Focales (Percepción Cualitativa Cultura).
5. Análisis y presentación resultados Cultura Red.
</t>
  </si>
  <si>
    <t xml:space="preserve">1. Socializacion de los resultados a traves de los diferentes medios 
2.  Elaboracion plan de accion </t>
  </si>
  <si>
    <t>1. Implenetar las acciones del programa
2. Evaluarcion de actividades
3. Informe de resultados periodicos</t>
  </si>
  <si>
    <t>1. Realizar cronograma de actividades 
2. Implenetar las acciones
3. Informe de resultados periodicos</t>
  </si>
  <si>
    <t>Informe de ejecución de las estrategias sobre cultura organizacional</t>
  </si>
  <si>
    <t>Informe ejecutivo de implementación del sistema de información</t>
  </si>
  <si>
    <t>Cronograma y sus modificaciones</t>
  </si>
  <si>
    <t>Informes</t>
  </si>
  <si>
    <t>Seguimiento con el proveedor</t>
  </si>
  <si>
    <t xml:space="preserve">Reunión de seguimiento a las obligaciones del convenio </t>
  </si>
  <si>
    <t>Informes de ejecución de convenios</t>
  </si>
  <si>
    <t xml:space="preserve">valor de la inversión acumulada en tecnología de la información/$3,800 millones. </t>
  </si>
  <si>
    <t>Certificación de licenciamiento</t>
  </si>
  <si>
    <t>Contrato con proveedor</t>
  </si>
  <si>
    <t>Realizacion de proyecto</t>
  </si>
  <si>
    <t>Proyecto inscrito en el banco de proyectos y generación del respectivo convenio</t>
  </si>
  <si>
    <t xml:space="preserve">Acta y listado de capacitación </t>
  </si>
  <si>
    <t>capacitaciones del programa de gestión clinica excelente y segura</t>
  </si>
  <si>
    <t>Protocolo de londres</t>
  </si>
  <si>
    <t>Analisis bajo el protocolo de londres de los eventos adversos</t>
  </si>
  <si>
    <t>Planes de mejoramiento</t>
  </si>
  <si>
    <t>Plan de mejoramiento semaforizado</t>
  </si>
  <si>
    <t xml:space="preserve">Informe Calificacion Cuantitativa de los grupos de Estandares del Sistema Unico de Acreditacion. </t>
  </si>
  <si>
    <t xml:space="preserve">Autoevaluacion Cualitativa y Cuantitativa de los grupos de estandares del Sistema Unico de Acreditacion </t>
  </si>
  <si>
    <t xml:space="preserve">Capacitacion de la Metodologia
Autoevaluacion Cuantitativa y Cualitativa 
Priorizacion de Oportunidades de Mejora 
Formulacion de Planes de Mejora 
Seguimiento y cierre de planes de Mejora </t>
  </si>
  <si>
    <t>Matriz de referenciación comparativa</t>
  </si>
  <si>
    <t>Socialización del procedimiento del referanciacion comparativa</t>
  </si>
  <si>
    <t>hoja de indicador</t>
  </si>
  <si>
    <t>Convenios Interadministrativos</t>
  </si>
  <si>
    <t>Formulacion e inscripción de proyectos ante la SDS</t>
  </si>
  <si>
    <t>Programa de reposición</t>
  </si>
  <si>
    <t>Formulacion y normalización del programa de reposición</t>
  </si>
  <si>
    <t xml:space="preserve">acta mensual </t>
  </si>
  <si>
    <t>acta equipo de trabajo urgencias</t>
  </si>
  <si>
    <t>Matriz de información de oportunidad de la atención triage III</t>
  </si>
  <si>
    <t>Gestión de la Información</t>
  </si>
  <si>
    <t>reunion equipo de urgencias</t>
  </si>
  <si>
    <t>102,6%
Unidades Simón, CES y Calle 80.</t>
  </si>
  <si>
    <t>Matriz de indicadores misionales</t>
  </si>
  <si>
    <t>reunion equipo de urgencias, en donde se haga seguimiento a la unificación del proceso</t>
  </si>
  <si>
    <t>Caracterizacion y definición del proceso de atención</t>
  </si>
  <si>
    <t>Auditoria por referente del servicio y seguimiento periodico en reuniones del equipo de urgencias</t>
  </si>
  <si>
    <t xml:space="preserve">Reuniones con el personal medico asistencial de los servicios; entrega de guias especificas a los profesionales </t>
  </si>
  <si>
    <t>Actas y correos de socialización y capacitación en guias de practica clínica</t>
  </si>
  <si>
    <t xml:space="preserve">Seguimiento "Ciclo de Atencion" definido y remitido al area de Normalización </t>
  </si>
  <si>
    <t xml:space="preserve">Dr. Mauricio Cuberos
</t>
  </si>
  <si>
    <t>Mauricio Cuberos
Dirección  servicio de  Urgencias Dra. Clara Prada</t>
  </si>
  <si>
    <t>Acta Seguimiento "Ciclo de Atencion" entre el area de Urgencias y Hospitalización</t>
  </si>
  <si>
    <t>Auditoria realizada</t>
  </si>
  <si>
    <t>Definicion de la metodologia e implementación de la metodologia para la auditoria</t>
  </si>
  <si>
    <t xml:space="preserve">hoja de indicador </t>
  </si>
  <si>
    <t>Documento Programa Hospitalización Domiciliaria, consecución de talento humano,realizacion de una prueba piloto e implementación del programa</t>
  </si>
  <si>
    <t>Reunion mensual</t>
  </si>
  <si>
    <t>Actas de seguimiento matriz de indicadores</t>
  </si>
  <si>
    <t>Reunion equipos de trabajo</t>
  </si>
  <si>
    <t>Actas, correos y capacitación virtual</t>
  </si>
  <si>
    <t>Informes de implementación de los servicios</t>
  </si>
  <si>
    <t>Informe de implementación</t>
  </si>
  <si>
    <t>Informe de apertura de las 16 nuevas camas</t>
  </si>
  <si>
    <t>Informe de producción</t>
  </si>
  <si>
    <t>Plan de organización y fortalecimiento de servicios en las  Unidad Médicas Hospitalarias  Especializadas y el respectivo seguimiento</t>
  </si>
  <si>
    <t>Acciones de reorganización realizadas/Acciones de reorganización programadas</t>
  </si>
  <si>
    <t>Plan de reorganización y fortalecimiento de servicios en las Unidades Médicas Hospitalarias Especializadas</t>
  </si>
  <si>
    <t>Informe mensual</t>
  </si>
  <si>
    <t>Elaboración del cronograma del Plan de reorganización y fortalecimiento de servicios en las Unidades Médicas Hospitalarias Especializadas</t>
  </si>
  <si>
    <t>Seguimiento del cronograma del Plan de reorganización y fortalecimiento de servicios en las Unidades Médicas Hospitalarias Especializadas</t>
  </si>
  <si>
    <t xml:space="preserve">Informe </t>
  </si>
  <si>
    <t>informe gerencial etapas persuasivas</t>
  </si>
  <si>
    <t>informe por centro de costo de produccion de facturacion</t>
  </si>
  <si>
    <t>informe de reporte generado de la auditoria</t>
  </si>
  <si>
    <t xml:space="preserve">Actas de socialización </t>
  </si>
  <si>
    <t>informe de glosas</t>
  </si>
  <si>
    <t>informe mensual de centros de costos prioritarios</t>
  </si>
  <si>
    <t>acta de socializacion de los centros de costos prioritarios</t>
  </si>
  <si>
    <t xml:space="preserve">informe de centros de costros consolidado trimestral </t>
  </si>
  <si>
    <t>Informe mensual resulato del equilibrio financiero</t>
  </si>
  <si>
    <t>Número de pacientes canalizados/No. de pacientes identificados  (Capital Salud y PPNA) .</t>
  </si>
  <si>
    <t>paciente con seguimiento/pacientes inscritos en la ruta</t>
  </si>
  <si>
    <t>Sumatoria de minutos transcurrida en la solictud de la atención y la atención/No. de usuarios que solicitaron atención.</t>
  </si>
  <si>
    <t>Servicio implementado/servicios programados para la implementación</t>
  </si>
  <si>
    <t xml:space="preserve">Eventos adversos con analsis y mejora /eventos adversos presentados y clasificados </t>
  </si>
  <si>
    <t>Matriz de sucesos de seguridad.</t>
  </si>
  <si>
    <t>Existencia de documento de diagnóstico</t>
  </si>
  <si>
    <t xml:space="preserve">Documento de análisis y ajustes a la capacidad </t>
  </si>
  <si>
    <t>Mariela Araque Peña Desarrollo Institucional.</t>
  </si>
  <si>
    <t xml:space="preserve">Número de analisis realizados/Número de análisis programados </t>
  </si>
  <si>
    <t>Número de proyectos con ejecución iniciada/Número de proyectos programados</t>
  </si>
  <si>
    <t xml:space="preserve">Número de acciones  de mejora ejecutadas / Número de acciones programadas </t>
  </si>
  <si>
    <t>Número de personas con resultado de comunicación efectiva / Número de personas evaluadas.</t>
  </si>
  <si>
    <t>Informe de efectividad de comunicación.</t>
  </si>
  <si>
    <t>Plan de mejoramiento de PGPAFED</t>
  </si>
  <si>
    <t xml:space="preserve">Diana Camelo Dirección Financiera </t>
  </si>
  <si>
    <t>Seguimiento</t>
  </si>
  <si>
    <t>Resultado</t>
  </si>
  <si>
    <t>Porcentaje de pacientes con seguimiento  a la ruta.</t>
  </si>
  <si>
    <t>Porcentaje de pacientes con adherencia a la ruta</t>
  </si>
  <si>
    <t>Resultado Númerador y Denominador</t>
  </si>
  <si>
    <t>Días cama ocupado/Días cama disponible</t>
  </si>
  <si>
    <t xml:space="preserve">Sumatoria total del tiempo en observacion de urgencias/ Número de pacientes que egresaron a observación urgencias en el periodo </t>
  </si>
  <si>
    <t xml:space="preserve">Plan de ventas  y evaluación periodica </t>
  </si>
  <si>
    <t xml:space="preserve">Número de trabajadores capacitados/Número de trabajadores descritos en la meta   Actividades realizadas/actividades propuestas </t>
  </si>
  <si>
    <t>1. Elaboracion ficha tecnica
2. Elaboracion de las unidades a desarrollar
3. Activacion en Moodle/1. Elaboracion ficha tecnica
2. Elaboracion de las unidades a desarrollar
3. Activacion en Moodle</t>
  </si>
  <si>
    <t>Número de módulos implementados/Número de módulos programados</t>
  </si>
  <si>
    <t>20/20</t>
  </si>
  <si>
    <t xml:space="preserve">Promedio de la calificación de autoevaluación en la vigencia evaluada/Promedio de la calificación de autoevaluación en la vigencia anterior .
Número de acciones de mejora implementadas/No. de acciones de mejora programadas </t>
  </si>
  <si>
    <t>1.23/1</t>
  </si>
  <si>
    <t>25.6/34.1</t>
  </si>
  <si>
    <t>13.7/15.9</t>
  </si>
  <si>
    <t>15.6/17.4</t>
  </si>
  <si>
    <t>12.8/20.1</t>
  </si>
  <si>
    <t>2689/2808</t>
  </si>
  <si>
    <t>31/31</t>
  </si>
  <si>
    <t>5.3%</t>
  </si>
  <si>
    <t>1655/88</t>
  </si>
  <si>
    <t>7./5</t>
  </si>
  <si>
    <t>57344/183776</t>
  </si>
  <si>
    <t>7783/14769</t>
  </si>
  <si>
    <t>916/940</t>
  </si>
  <si>
    <t>472/786</t>
  </si>
  <si>
    <t>Cancer 
Seguimiento 70% - Adherencia 64,6%</t>
  </si>
  <si>
    <t>(1565+1500)/(1524+1673)</t>
  </si>
  <si>
    <t>Documento Diagnóstico</t>
  </si>
  <si>
    <t>Valor de la ejecución de ingresos totales recaudados en la vigencia/valor de la ejecución de gastos comprometidos incluyendo cuentas por pagar de la vigencia anterior.</t>
  </si>
  <si>
    <t>1449485/27616</t>
  </si>
  <si>
    <t>12779/13428</t>
  </si>
  <si>
    <t>401914/14303</t>
  </si>
  <si>
    <t>1200/3800</t>
  </si>
  <si>
    <t>1./1.</t>
  </si>
  <si>
    <t xml:space="preserve"> 3./3.</t>
  </si>
  <si>
    <t xml:space="preserve">Se presenta documento de avance del diagnostico situacional ESE </t>
  </si>
  <si>
    <t>Se entrega informe de las estrategias de comunicación que aseguren la socialización del modelo de atención</t>
  </si>
  <si>
    <t>28245191781/27045454345</t>
  </si>
  <si>
    <t>59531077960/72987388000</t>
  </si>
  <si>
    <t>0/84735575343</t>
  </si>
  <si>
    <t>25/25</t>
  </si>
  <si>
    <t>Presenta informe</t>
  </si>
  <si>
    <t>13/25</t>
  </si>
  <si>
    <t>96991053294/187124178365</t>
  </si>
  <si>
    <t>Se presenta informe de avance</t>
  </si>
  <si>
    <t>Valor Facturado/Ventas proyectadas</t>
  </si>
  <si>
    <t>NA</t>
  </si>
  <si>
    <t>3/6.</t>
  </si>
  <si>
    <t>Línea base general: Seguimiento 46% - Adherencia 36%
crónicas
Seguimiento 0% - Adherencia0%</t>
  </si>
  <si>
    <t>5948/8065</t>
  </si>
  <si>
    <t>2042/2203</t>
  </si>
  <si>
    <t>1321/2203</t>
  </si>
  <si>
    <t>23009/27424</t>
  </si>
  <si>
    <t>17776/27424</t>
  </si>
  <si>
    <t>2634/3462</t>
  </si>
  <si>
    <t>181/223</t>
  </si>
  <si>
    <t>1|20</t>
  </si>
  <si>
    <t>1|21</t>
  </si>
  <si>
    <t>1|22</t>
  </si>
  <si>
    <t>2|6</t>
  </si>
  <si>
    <t>No Actividades Cumplidas</t>
  </si>
  <si>
    <t>160/160</t>
  </si>
  <si>
    <t>4./4.</t>
  </si>
  <si>
    <t>Informe PAG</t>
  </si>
  <si>
    <t>Resultado Númerador y Denominador II trimestre</t>
  </si>
  <si>
    <t>SEGUNDO TRIMESTRE</t>
  </si>
  <si>
    <t xml:space="preserve">Claudia Galan - Gestión del Conocimiento  </t>
  </si>
  <si>
    <t>1. Implenetar las acciones del programa
2. Evaluacion de actividades
3. Informe de resultados periodicos</t>
  </si>
  <si>
    <t>1. Establecer las necesidades de comunicación a partir del modelo AIS
2. Establecer el plan de accion con comunicaciones
3. Implementacion del Plan
4. Evalaucion de las estrategias
5. Presentacion de informes periodicos</t>
  </si>
  <si>
    <t>Fortalecer el uso de las herramientas de comunicación interna para el despliegue de la información institucional de gestión y desarrollo de AIS.  Preguntar a comunicaciones.</t>
  </si>
  <si>
    <t>15./15.</t>
  </si>
  <si>
    <t>13./8.</t>
  </si>
  <si>
    <t>11./5.</t>
  </si>
  <si>
    <t>5./5.</t>
  </si>
  <si>
    <t>medicina interna  6.0                                      quirurgicos 4.4</t>
  </si>
  <si>
    <t>Dias cama ocupado/egresos</t>
  </si>
  <si>
    <t>170450959487/162272726070</t>
  </si>
  <si>
    <t>6./7</t>
  </si>
  <si>
    <t>71277749127/75209942859,25</t>
  </si>
  <si>
    <t>185141850/85715384144</t>
  </si>
  <si>
    <t>42/42</t>
  </si>
  <si>
    <t>177761690815/265266770624</t>
  </si>
  <si>
    <t>1.24/1</t>
  </si>
  <si>
    <t>209/209</t>
  </si>
  <si>
    <t>2./2</t>
  </si>
  <si>
    <t>78752/183776</t>
  </si>
  <si>
    <t>4629/5754</t>
  </si>
  <si>
    <t>8205/14768</t>
  </si>
  <si>
    <t>3723/4581</t>
  </si>
  <si>
    <t>2622/4515</t>
  </si>
  <si>
    <t>34886/41711</t>
  </si>
  <si>
    <t>28184/41333</t>
  </si>
  <si>
    <t>593/951</t>
  </si>
  <si>
    <t>5503/8148</t>
  </si>
  <si>
    <t>2160236/39128</t>
  </si>
  <si>
    <t>18742/4241</t>
  </si>
  <si>
    <t>10077/2786</t>
  </si>
  <si>
    <t>1./3</t>
  </si>
  <si>
    <t>1854/4600</t>
  </si>
  <si>
    <t>3./3</t>
  </si>
  <si>
    <t>978621292/1200000000</t>
  </si>
  <si>
    <t>1./2</t>
  </si>
  <si>
    <t>6./8</t>
  </si>
  <si>
    <t>41/42</t>
  </si>
  <si>
    <t>119/1717</t>
  </si>
  <si>
    <t>3300000000/21798660502</t>
  </si>
  <si>
    <t>(1872+2145)/(1566+1500)</t>
  </si>
  <si>
    <t>4/6.</t>
  </si>
  <si>
    <t>14557/13830</t>
  </si>
  <si>
    <t>591474/20894</t>
  </si>
  <si>
    <t>1769/1769</t>
  </si>
  <si>
    <t>388/458</t>
  </si>
  <si>
    <t>219/505</t>
  </si>
  <si>
    <t>84735575343/86285917524</t>
  </si>
  <si>
    <t>170450959487/172571835048</t>
  </si>
  <si>
    <t>13809/42600</t>
  </si>
  <si>
    <t>(13809+13103)/42600</t>
  </si>
  <si>
    <t>2100/2100</t>
  </si>
</sst>
</file>

<file path=xl/styles.xml><?xml version="1.0" encoding="utf-8"?>
<styleSheet xmlns="http://schemas.openxmlformats.org/spreadsheetml/2006/main">
  <numFmts count="8"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0.0%"/>
    <numFmt numFmtId="169" formatCode="_-* #,##0_-;\-* #,##0_-;_-* &quot;-&quot;??_-;_-@_-"/>
    <numFmt numFmtId="170" formatCode="_-&quot;$&quot;* #,##0_-;\-&quot;$&quot;* #,##0_-;_-&quot;$&quot;* &quot;-&quot;??_-;_-@_-"/>
    <numFmt numFmtId="171" formatCode="0.000%"/>
    <numFmt numFmtId="172" formatCode="0.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0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26">
    <xf numFmtId="0" fontId="0" fillId="0" borderId="0" xfId="0"/>
    <xf numFmtId="0" fontId="3" fillId="0" borderId="0" xfId="0" applyFont="1"/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10" fontId="6" fillId="2" borderId="8" xfId="4" applyNumberFormat="1" applyFont="1" applyFill="1" applyBorder="1" applyAlignment="1">
      <alignment horizontal="center" vertical="center" wrapText="1"/>
    </xf>
    <xf numFmtId="10" fontId="6" fillId="2" borderId="6" xfId="4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 applyProtection="1">
      <alignment horizontal="center" vertical="center" wrapText="1"/>
    </xf>
    <xf numFmtId="0" fontId="0" fillId="2" borderId="0" xfId="0" applyFont="1" applyFill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168" fontId="1" fillId="0" borderId="1" xfId="2" applyNumberFormat="1" applyFont="1" applyBorder="1" applyAlignment="1">
      <alignment horizontal="center" vertical="center" wrapText="1"/>
    </xf>
    <xf numFmtId="168" fontId="1" fillId="0" borderId="4" xfId="2" applyNumberFormat="1" applyFont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10" fontId="11" fillId="2" borderId="1" xfId="4" applyNumberFormat="1" applyFont="1" applyFill="1" applyBorder="1" applyAlignment="1">
      <alignment horizontal="left" vertical="top" wrapText="1"/>
    </xf>
    <xf numFmtId="9" fontId="11" fillId="2" borderId="1" xfId="4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1" fillId="2" borderId="1" xfId="2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0" fontId="11" fillId="2" borderId="1" xfId="4" applyNumberFormat="1" applyFont="1" applyFill="1" applyBorder="1" applyAlignment="1">
      <alignment horizontal="left" vertical="center" wrapText="1"/>
    </xf>
    <xf numFmtId="9" fontId="11" fillId="2" borderId="1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167" fontId="11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" fontId="11" fillId="2" borderId="1" xfId="4" applyNumberFormat="1" applyFont="1" applyFill="1" applyBorder="1" applyAlignment="1">
      <alignment horizontal="center" vertical="top" wrapText="1"/>
    </xf>
    <xf numFmtId="167" fontId="11" fillId="2" borderId="1" xfId="4" applyNumberFormat="1" applyFont="1" applyFill="1" applyBorder="1" applyAlignment="1">
      <alignment horizontal="center" vertical="top" wrapText="1"/>
    </xf>
    <xf numFmtId="167" fontId="11" fillId="2" borderId="10" xfId="4" applyNumberFormat="1" applyFont="1" applyFill="1" applyBorder="1" applyAlignment="1">
      <alignment horizontal="center" vertical="top" wrapText="1"/>
    </xf>
    <xf numFmtId="167" fontId="9" fillId="2" borderId="1" xfId="0" applyNumberFormat="1" applyFont="1" applyFill="1" applyBorder="1" applyAlignment="1">
      <alignment horizontal="center" wrapText="1"/>
    </xf>
    <xf numFmtId="167" fontId="9" fillId="2" borderId="1" xfId="0" applyNumberFormat="1" applyFont="1" applyFill="1" applyBorder="1" applyAlignment="1">
      <alignment horizontal="center" vertical="top" wrapText="1"/>
    </xf>
    <xf numFmtId="167" fontId="9" fillId="2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top" wrapText="1"/>
    </xf>
    <xf numFmtId="167" fontId="10" fillId="2" borderId="1" xfId="0" applyNumberFormat="1" applyFont="1" applyFill="1" applyBorder="1" applyAlignment="1">
      <alignment horizontal="center" vertical="top" wrapText="1"/>
    </xf>
    <xf numFmtId="167" fontId="10" fillId="0" borderId="1" xfId="0" applyNumberFormat="1" applyFont="1" applyBorder="1" applyAlignment="1">
      <alignment horizontal="center" vertical="top" wrapText="1"/>
    </xf>
    <xf numFmtId="167" fontId="11" fillId="2" borderId="1" xfId="0" applyNumberFormat="1" applyFont="1" applyFill="1" applyBorder="1" applyAlignment="1">
      <alignment horizontal="center" vertical="top" wrapText="1"/>
    </xf>
    <xf numFmtId="167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9" fontId="11" fillId="2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11" fillId="2" borderId="1" xfId="4" applyNumberFormat="1" applyFont="1" applyFill="1" applyBorder="1" applyAlignment="1">
      <alignment horizontal="center" vertical="top" wrapText="1"/>
    </xf>
    <xf numFmtId="10" fontId="11" fillId="2" borderId="10" xfId="4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10" fontId="11" fillId="6" borderId="1" xfId="4" applyNumberFormat="1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9" fontId="11" fillId="2" borderId="1" xfId="4" applyNumberFormat="1" applyFont="1" applyFill="1" applyBorder="1" applyAlignment="1">
      <alignment horizontal="center" vertical="center"/>
    </xf>
    <xf numFmtId="9" fontId="11" fillId="2" borderId="1" xfId="4" applyNumberFormat="1" applyFont="1" applyFill="1" applyBorder="1" applyAlignment="1">
      <alignment horizontal="center" vertical="center" wrapText="1"/>
    </xf>
    <xf numFmtId="9" fontId="0" fillId="0" borderId="0" xfId="0" applyNumberFormat="1" applyFont="1"/>
    <xf numFmtId="10" fontId="0" fillId="0" borderId="0" xfId="0" applyNumberFormat="1"/>
    <xf numFmtId="9" fontId="11" fillId="2" borderId="1" xfId="4" applyNumberFormat="1" applyFont="1" applyFill="1" applyBorder="1" applyAlignment="1">
      <alignment horizontal="center" vertical="center"/>
    </xf>
    <xf numFmtId="9" fontId="11" fillId="2" borderId="1" xfId="4" applyNumberFormat="1" applyFont="1" applyFill="1" applyBorder="1" applyAlignment="1">
      <alignment horizontal="center" vertical="center" wrapText="1"/>
    </xf>
    <xf numFmtId="9" fontId="11" fillId="2" borderId="2" xfId="4" applyNumberFormat="1" applyFont="1" applyFill="1" applyBorder="1" applyAlignment="1">
      <alignment horizontal="center" vertical="center" wrapText="1"/>
    </xf>
    <xf numFmtId="9" fontId="11" fillId="2" borderId="1" xfId="2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10" fontId="11" fillId="2" borderId="2" xfId="4" applyNumberFormat="1" applyFont="1" applyFill="1" applyBorder="1" applyAlignment="1">
      <alignment vertical="center" wrapText="1"/>
    </xf>
    <xf numFmtId="10" fontId="11" fillId="2" borderId="1" xfId="4" applyNumberFormat="1" applyFont="1" applyFill="1" applyBorder="1" applyAlignment="1">
      <alignment vertical="center" wrapText="1"/>
    </xf>
    <xf numFmtId="10" fontId="0" fillId="8" borderId="0" xfId="0" applyNumberFormat="1" applyFont="1" applyFill="1"/>
    <xf numFmtId="9" fontId="0" fillId="0" borderId="0" xfId="2" applyFont="1"/>
    <xf numFmtId="168" fontId="0" fillId="0" borderId="0" xfId="0" applyNumberFormat="1" applyFont="1"/>
    <xf numFmtId="9" fontId="0" fillId="8" borderId="0" xfId="0" applyNumberFormat="1" applyFill="1"/>
    <xf numFmtId="10" fontId="0" fillId="0" borderId="0" xfId="2" applyNumberFormat="1" applyFont="1"/>
    <xf numFmtId="171" fontId="0" fillId="0" borderId="0" xfId="2" applyNumberFormat="1" applyFont="1"/>
    <xf numFmtId="171" fontId="0" fillId="8" borderId="0" xfId="0" applyNumberFormat="1" applyFont="1" applyFill="1"/>
    <xf numFmtId="0" fontId="0" fillId="0" borderId="0" xfId="0" applyNumberFormat="1" applyFont="1"/>
    <xf numFmtId="9" fontId="0" fillId="0" borderId="0" xfId="2" applyNumberFormat="1" applyFont="1"/>
    <xf numFmtId="10" fontId="11" fillId="2" borderId="10" xfId="4" applyNumberFormat="1" applyFont="1" applyFill="1" applyBorder="1" applyAlignment="1">
      <alignment horizontal="center" vertical="center" wrapText="1"/>
    </xf>
    <xf numFmtId="10" fontId="11" fillId="2" borderId="1" xfId="4" applyNumberFormat="1" applyFont="1" applyFill="1" applyBorder="1" applyAlignment="1">
      <alignment horizontal="center" vertical="center" wrapText="1"/>
    </xf>
    <xf numFmtId="9" fontId="11" fillId="2" borderId="2" xfId="4" applyNumberFormat="1" applyFont="1" applyFill="1" applyBorder="1" applyAlignment="1">
      <alignment vertical="center" wrapText="1"/>
    </xf>
    <xf numFmtId="10" fontId="11" fillId="9" borderId="1" xfId="4" applyNumberFormat="1" applyFont="1" applyFill="1" applyBorder="1" applyAlignment="1">
      <alignment horizontal="left" vertical="top" wrapText="1"/>
    </xf>
    <xf numFmtId="10" fontId="11" fillId="2" borderId="1" xfId="4" applyNumberFormat="1" applyFont="1" applyFill="1" applyBorder="1" applyAlignment="1">
      <alignment horizontal="center" vertical="center" wrapText="1"/>
    </xf>
    <xf numFmtId="9" fontId="11" fillId="2" borderId="1" xfId="2" applyFont="1" applyFill="1" applyBorder="1" applyAlignment="1">
      <alignment horizontal="center" vertical="center"/>
    </xf>
    <xf numFmtId="0" fontId="11" fillId="2" borderId="1" xfId="4" applyNumberFormat="1" applyFont="1" applyFill="1" applyBorder="1" applyAlignment="1">
      <alignment horizontal="center" vertical="center" wrapText="1"/>
    </xf>
    <xf numFmtId="0" fontId="11" fillId="0" borderId="1" xfId="4" applyNumberFormat="1" applyFont="1" applyFill="1" applyBorder="1" applyAlignment="1">
      <alignment horizontal="center" vertical="center" wrapText="1"/>
    </xf>
    <xf numFmtId="9" fontId="11" fillId="2" borderId="1" xfId="2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9" fontId="9" fillId="6" borderId="1" xfId="2" applyFont="1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11" fillId="11" borderId="1" xfId="0" applyFont="1" applyFill="1" applyBorder="1" applyAlignment="1">
      <alignment horizontal="left" vertical="center" wrapText="1"/>
    </xf>
    <xf numFmtId="9" fontId="11" fillId="2" borderId="1" xfId="4" applyNumberFormat="1" applyFont="1" applyFill="1" applyBorder="1" applyAlignment="1">
      <alignment horizontal="center" vertical="center"/>
    </xf>
    <xf numFmtId="9" fontId="11" fillId="2" borderId="1" xfId="2" applyFont="1" applyFill="1" applyBorder="1" applyAlignment="1">
      <alignment horizontal="center" vertical="center"/>
    </xf>
    <xf numFmtId="9" fontId="11" fillId="2" borderId="1" xfId="4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5" fillId="0" borderId="0" xfId="0" applyFont="1"/>
    <xf numFmtId="169" fontId="1" fillId="0" borderId="4" xfId="1" applyNumberFormat="1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9" fontId="0" fillId="0" borderId="1" xfId="2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0" fontId="11" fillId="2" borderId="1" xfId="4" applyNumberFormat="1" applyFont="1" applyFill="1" applyBorder="1" applyAlignment="1">
      <alignment horizontal="center" vertical="center" wrapText="1"/>
    </xf>
    <xf numFmtId="9" fontId="11" fillId="2" borderId="1" xfId="4" applyNumberFormat="1" applyFont="1" applyFill="1" applyBorder="1" applyAlignment="1">
      <alignment horizontal="center" vertical="center" wrapText="1"/>
    </xf>
    <xf numFmtId="9" fontId="11" fillId="2" borderId="2" xfId="4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center" wrapText="1"/>
    </xf>
    <xf numFmtId="9" fontId="11" fillId="2" borderId="1" xfId="4" applyNumberFormat="1" applyFont="1" applyFill="1" applyBorder="1" applyAlignment="1">
      <alignment horizontal="center" vertical="center"/>
    </xf>
    <xf numFmtId="9" fontId="11" fillId="9" borderId="1" xfId="4" applyNumberFormat="1" applyFont="1" applyFill="1" applyBorder="1" applyAlignment="1">
      <alignment horizontal="center" vertical="center" wrapText="1"/>
    </xf>
    <xf numFmtId="9" fontId="11" fillId="10" borderId="2" xfId="4" applyNumberFormat="1" applyFont="1" applyFill="1" applyBorder="1" applyAlignment="1">
      <alignment horizontal="center" vertical="center" wrapText="1"/>
    </xf>
    <xf numFmtId="9" fontId="11" fillId="10" borderId="1" xfId="4" applyNumberFormat="1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vertical="center"/>
    </xf>
    <xf numFmtId="167" fontId="9" fillId="2" borderId="1" xfId="2" applyNumberFormat="1" applyFont="1" applyFill="1" applyBorder="1" applyAlignment="1">
      <alignment horizontal="center" vertical="center" wrapText="1"/>
    </xf>
    <xf numFmtId="9" fontId="11" fillId="2" borderId="1" xfId="2" applyFont="1" applyFill="1" applyBorder="1" applyAlignment="1">
      <alignment horizontal="center" vertical="center"/>
    </xf>
    <xf numFmtId="9" fontId="11" fillId="10" borderId="1" xfId="4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9" fontId="11" fillId="2" borderId="1" xfId="2" applyFont="1" applyFill="1" applyBorder="1" applyAlignment="1">
      <alignment horizontal="right" vertical="center"/>
    </xf>
    <xf numFmtId="1" fontId="9" fillId="0" borderId="1" xfId="0" applyNumberFormat="1" applyFont="1" applyBorder="1" applyAlignment="1">
      <alignment horizontal="left" vertical="center" wrapText="1"/>
    </xf>
    <xf numFmtId="9" fontId="11" fillId="2" borderId="1" xfId="4" applyNumberFormat="1" applyFont="1" applyFill="1" applyBorder="1" applyAlignment="1">
      <alignment horizontal="center" vertical="center" wrapText="1"/>
    </xf>
    <xf numFmtId="9" fontId="11" fillId="2" borderId="2" xfId="4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9" fontId="11" fillId="10" borderId="1" xfId="4" applyNumberFormat="1" applyFont="1" applyFill="1" applyBorder="1" applyAlignment="1">
      <alignment horizontal="center" vertical="center"/>
    </xf>
    <xf numFmtId="9" fontId="11" fillId="12" borderId="1" xfId="2" applyNumberFormat="1" applyFont="1" applyFill="1" applyBorder="1" applyAlignment="1">
      <alignment horizontal="center" vertical="center" wrapText="1"/>
    </xf>
    <xf numFmtId="9" fontId="11" fillId="1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0" fontId="0" fillId="0" borderId="0" xfId="0" applyNumberFormat="1" applyFont="1"/>
    <xf numFmtId="172" fontId="0" fillId="0" borderId="0" xfId="0" applyNumberFormat="1" applyFont="1"/>
    <xf numFmtId="9" fontId="0" fillId="0" borderId="1" xfId="2" applyFont="1" applyBorder="1" applyAlignment="1">
      <alignment vertical="center"/>
    </xf>
    <xf numFmtId="9" fontId="11" fillId="2" borderId="1" xfId="2" applyFont="1" applyFill="1" applyBorder="1" applyAlignment="1">
      <alignment horizontal="center" vertical="center"/>
    </xf>
    <xf numFmtId="10" fontId="11" fillId="2" borderId="1" xfId="4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68" fontId="11" fillId="2" borderId="2" xfId="2" applyNumberFormat="1" applyFont="1" applyFill="1" applyBorder="1" applyAlignment="1">
      <alignment horizontal="center" vertical="center" wrapText="1"/>
    </xf>
    <xf numFmtId="168" fontId="11" fillId="2" borderId="9" xfId="2" applyNumberFormat="1" applyFont="1" applyFill="1" applyBorder="1" applyAlignment="1">
      <alignment horizontal="center" vertical="center" wrapText="1"/>
    </xf>
    <xf numFmtId="168" fontId="11" fillId="2" borderId="10" xfId="2" applyNumberFormat="1" applyFont="1" applyFill="1" applyBorder="1" applyAlignment="1">
      <alignment horizontal="center" vertical="center" wrapText="1"/>
    </xf>
    <xf numFmtId="12" fontId="11" fillId="2" borderId="2" xfId="4" applyNumberFormat="1" applyFont="1" applyFill="1" applyBorder="1" applyAlignment="1">
      <alignment horizontal="center" vertical="center" wrapText="1"/>
    </xf>
    <xf numFmtId="9" fontId="11" fillId="2" borderId="9" xfId="4" applyNumberFormat="1" applyFont="1" applyFill="1" applyBorder="1" applyAlignment="1">
      <alignment horizontal="center" vertical="center" wrapText="1"/>
    </xf>
    <xf numFmtId="9" fontId="11" fillId="2" borderId="10" xfId="4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0" fontId="11" fillId="2" borderId="2" xfId="4" applyNumberFormat="1" applyFont="1" applyFill="1" applyBorder="1" applyAlignment="1">
      <alignment horizontal="center" vertical="center" wrapText="1"/>
    </xf>
    <xf numFmtId="10" fontId="11" fillId="2" borderId="9" xfId="4" applyNumberFormat="1" applyFont="1" applyFill="1" applyBorder="1" applyAlignment="1">
      <alignment horizontal="center" vertical="center" wrapText="1"/>
    </xf>
    <xf numFmtId="10" fontId="11" fillId="2" borderId="10" xfId="4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9" fontId="11" fillId="2" borderId="2" xfId="2" applyFont="1" applyFill="1" applyBorder="1" applyAlignment="1">
      <alignment horizontal="center" vertical="center" wrapText="1"/>
    </xf>
    <xf numFmtId="9" fontId="11" fillId="2" borderId="9" xfId="2" applyFont="1" applyFill="1" applyBorder="1" applyAlignment="1">
      <alignment horizontal="center" vertical="center" wrapText="1"/>
    </xf>
    <xf numFmtId="9" fontId="11" fillId="2" borderId="10" xfId="2" applyFont="1" applyFill="1" applyBorder="1" applyAlignment="1">
      <alignment horizontal="center" vertical="center" wrapText="1"/>
    </xf>
    <xf numFmtId="0" fontId="11" fillId="6" borderId="2" xfId="4" applyNumberFormat="1" applyFont="1" applyFill="1" applyBorder="1" applyAlignment="1">
      <alignment horizontal="center" vertical="center"/>
    </xf>
    <xf numFmtId="0" fontId="11" fillId="6" borderId="9" xfId="4" applyNumberFormat="1" applyFont="1" applyFill="1" applyBorder="1" applyAlignment="1">
      <alignment horizontal="center" vertical="center"/>
    </xf>
    <xf numFmtId="0" fontId="11" fillId="6" borderId="10" xfId="4" applyNumberFormat="1" applyFont="1" applyFill="1" applyBorder="1" applyAlignment="1">
      <alignment horizontal="center" vertical="center"/>
    </xf>
    <xf numFmtId="9" fontId="11" fillId="2" borderId="2" xfId="4" applyNumberFormat="1" applyFont="1" applyFill="1" applyBorder="1" applyAlignment="1">
      <alignment horizontal="center" vertical="center"/>
    </xf>
    <xf numFmtId="9" fontId="11" fillId="2" borderId="9" xfId="4" applyNumberFormat="1" applyFont="1" applyFill="1" applyBorder="1" applyAlignment="1">
      <alignment horizontal="center" vertical="center"/>
    </xf>
    <xf numFmtId="9" fontId="11" fillId="2" borderId="10" xfId="4" applyNumberFormat="1" applyFont="1" applyFill="1" applyBorder="1" applyAlignment="1">
      <alignment horizontal="center" vertical="center"/>
    </xf>
    <xf numFmtId="0" fontId="11" fillId="2" borderId="2" xfId="4" applyNumberFormat="1" applyFont="1" applyFill="1" applyBorder="1" applyAlignment="1">
      <alignment horizontal="center" vertical="center" wrapText="1"/>
    </xf>
    <xf numFmtId="0" fontId="11" fillId="2" borderId="9" xfId="4" applyNumberFormat="1" applyFont="1" applyFill="1" applyBorder="1" applyAlignment="1">
      <alignment horizontal="center" vertical="center" wrapText="1"/>
    </xf>
    <xf numFmtId="0" fontId="11" fillId="2" borderId="10" xfId="4" applyNumberFormat="1" applyFont="1" applyFill="1" applyBorder="1" applyAlignment="1">
      <alignment horizontal="center" vertical="center" wrapText="1"/>
    </xf>
    <xf numFmtId="10" fontId="11" fillId="0" borderId="2" xfId="4" applyNumberFormat="1" applyFont="1" applyFill="1" applyBorder="1" applyAlignment="1">
      <alignment horizontal="center" vertical="center" wrapText="1"/>
    </xf>
    <xf numFmtId="10" fontId="11" fillId="0" borderId="9" xfId="4" applyNumberFormat="1" applyFont="1" applyFill="1" applyBorder="1" applyAlignment="1">
      <alignment horizontal="center" vertical="center" wrapText="1"/>
    </xf>
    <xf numFmtId="10" fontId="11" fillId="0" borderId="10" xfId="4" applyNumberFormat="1" applyFont="1" applyFill="1" applyBorder="1" applyAlignment="1">
      <alignment horizontal="center" vertical="center" wrapText="1"/>
    </xf>
    <xf numFmtId="2" fontId="11" fillId="2" borderId="2" xfId="4" applyNumberFormat="1" applyFont="1" applyFill="1" applyBorder="1" applyAlignment="1">
      <alignment horizontal="center" vertical="center" wrapText="1"/>
    </xf>
    <xf numFmtId="2" fontId="11" fillId="2" borderId="9" xfId="4" applyNumberFormat="1" applyFont="1" applyFill="1" applyBorder="1" applyAlignment="1">
      <alignment horizontal="center" vertical="center" wrapText="1"/>
    </xf>
    <xf numFmtId="2" fontId="11" fillId="2" borderId="10" xfId="4" applyNumberFormat="1" applyFont="1" applyFill="1" applyBorder="1" applyAlignment="1">
      <alignment horizontal="center" vertical="center" wrapText="1"/>
    </xf>
    <xf numFmtId="9" fontId="11" fillId="2" borderId="1" xfId="4" applyNumberFormat="1" applyFont="1" applyFill="1" applyBorder="1" applyAlignment="1">
      <alignment horizontal="center" vertical="center"/>
    </xf>
    <xf numFmtId="0" fontId="7" fillId="6" borderId="11" xfId="3" applyFont="1" applyFill="1" applyBorder="1" applyAlignment="1" applyProtection="1">
      <alignment horizontal="center" vertical="center" wrapText="1"/>
    </xf>
    <xf numFmtId="0" fontId="7" fillId="6" borderId="12" xfId="3" applyFont="1" applyFill="1" applyBorder="1" applyAlignment="1" applyProtection="1">
      <alignment horizontal="center" vertical="center" wrapText="1"/>
    </xf>
    <xf numFmtId="0" fontId="15" fillId="0" borderId="2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9" fontId="9" fillId="0" borderId="2" xfId="2" applyFont="1" applyBorder="1" applyAlignment="1">
      <alignment horizontal="center" vertical="center"/>
    </xf>
    <xf numFmtId="9" fontId="9" fillId="0" borderId="9" xfId="2" applyFont="1" applyBorder="1" applyAlignment="1">
      <alignment horizontal="center" vertical="center"/>
    </xf>
    <xf numFmtId="9" fontId="9" fillId="0" borderId="10" xfId="2" applyFont="1" applyBorder="1" applyAlignment="1">
      <alignment horizontal="center" vertical="center"/>
    </xf>
    <xf numFmtId="168" fontId="9" fillId="6" borderId="2" xfId="0" applyNumberFormat="1" applyFont="1" applyFill="1" applyBorder="1" applyAlignment="1">
      <alignment horizontal="center" vertical="center"/>
    </xf>
    <xf numFmtId="168" fontId="9" fillId="6" borderId="9" xfId="0" applyNumberFormat="1" applyFont="1" applyFill="1" applyBorder="1" applyAlignment="1">
      <alignment horizontal="center" vertical="center"/>
    </xf>
    <xf numFmtId="168" fontId="9" fillId="6" borderId="10" xfId="0" applyNumberFormat="1" applyFont="1" applyFill="1" applyBorder="1" applyAlignment="1">
      <alignment horizontal="center" vertical="center"/>
    </xf>
    <xf numFmtId="168" fontId="9" fillId="2" borderId="2" xfId="0" applyNumberFormat="1" applyFont="1" applyFill="1" applyBorder="1" applyAlignment="1">
      <alignment horizontal="center" vertical="center"/>
    </xf>
    <xf numFmtId="168" fontId="9" fillId="2" borderId="9" xfId="0" applyNumberFormat="1" applyFont="1" applyFill="1" applyBorder="1" applyAlignment="1">
      <alignment horizontal="center" vertical="center"/>
    </xf>
    <xf numFmtId="168" fontId="9" fillId="2" borderId="10" xfId="0" applyNumberFormat="1" applyFont="1" applyFill="1" applyBorder="1" applyAlignment="1">
      <alignment horizontal="center" vertical="center"/>
    </xf>
    <xf numFmtId="10" fontId="11" fillId="6" borderId="2" xfId="4" applyNumberFormat="1" applyFont="1" applyFill="1" applyBorder="1" applyAlignment="1">
      <alignment horizontal="center" vertical="center" wrapText="1"/>
    </xf>
    <xf numFmtId="10" fontId="11" fillId="6" borderId="9" xfId="4" applyNumberFormat="1" applyFont="1" applyFill="1" applyBorder="1" applyAlignment="1">
      <alignment horizontal="center" vertical="center" wrapText="1"/>
    </xf>
    <xf numFmtId="10" fontId="11" fillId="6" borderId="10" xfId="4" applyNumberFormat="1" applyFont="1" applyFill="1" applyBorder="1" applyAlignment="1">
      <alignment horizontal="center" vertical="center" wrapText="1"/>
    </xf>
    <xf numFmtId="10" fontId="9" fillId="2" borderId="2" xfId="4" applyNumberFormat="1" applyFont="1" applyFill="1" applyBorder="1" applyAlignment="1">
      <alignment horizontal="center" vertical="center" wrapText="1"/>
    </xf>
    <xf numFmtId="10" fontId="9" fillId="2" borderId="9" xfId="4" applyNumberFormat="1" applyFont="1" applyFill="1" applyBorder="1" applyAlignment="1">
      <alignment horizontal="center" vertical="center" wrapText="1"/>
    </xf>
    <xf numFmtId="10" fontId="9" fillId="2" borderId="10" xfId="4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9" fontId="9" fillId="2" borderId="2" xfId="2" applyFont="1" applyFill="1" applyBorder="1" applyAlignment="1">
      <alignment horizontal="center" vertical="center" wrapText="1"/>
    </xf>
    <xf numFmtId="9" fontId="9" fillId="2" borderId="9" xfId="2" applyFont="1" applyFill="1" applyBorder="1" applyAlignment="1">
      <alignment horizontal="center" vertical="center" wrapText="1"/>
    </xf>
    <xf numFmtId="9" fontId="9" fillId="2" borderId="10" xfId="2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7" fontId="11" fillId="0" borderId="2" xfId="0" applyNumberFormat="1" applyFont="1" applyBorder="1" applyAlignment="1">
      <alignment horizontal="center" vertical="center" wrapText="1"/>
    </xf>
    <xf numFmtId="167" fontId="11" fillId="0" borderId="10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6" borderId="13" xfId="3" applyFont="1" applyFill="1" applyBorder="1" applyAlignment="1" applyProtection="1">
      <alignment horizontal="center" vertical="center" wrapText="1"/>
    </xf>
    <xf numFmtId="0" fontId="7" fillId="6" borderId="14" xfId="3" applyFont="1" applyFill="1" applyBorder="1" applyAlignment="1" applyProtection="1">
      <alignment horizontal="center" vertical="center" wrapText="1"/>
    </xf>
    <xf numFmtId="0" fontId="7" fillId="6" borderId="15" xfId="3" applyFont="1" applyFill="1" applyBorder="1" applyAlignment="1" applyProtection="1">
      <alignment horizontal="center" vertical="center" wrapText="1"/>
    </xf>
    <xf numFmtId="9" fontId="11" fillId="2" borderId="1" xfId="0" applyNumberFormat="1" applyFont="1" applyFill="1" applyBorder="1" applyAlignment="1">
      <alignment horizontal="center" vertical="center"/>
    </xf>
    <xf numFmtId="168" fontId="9" fillId="0" borderId="1" xfId="2" applyNumberFormat="1" applyFont="1" applyBorder="1" applyAlignment="1">
      <alignment horizontal="center" vertical="center"/>
    </xf>
    <xf numFmtId="9" fontId="9" fillId="2" borderId="1" xfId="0" applyNumberFormat="1" applyFont="1" applyFill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 wrapText="1"/>
    </xf>
    <xf numFmtId="9" fontId="9" fillId="2" borderId="1" xfId="2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0" fontId="11" fillId="2" borderId="1" xfId="4" applyNumberFormat="1" applyFont="1" applyFill="1" applyBorder="1" applyAlignment="1">
      <alignment horizontal="center" vertical="center" wrapText="1"/>
    </xf>
    <xf numFmtId="9" fontId="11" fillId="2" borderId="1" xfId="4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9" fontId="9" fillId="2" borderId="1" xfId="2" applyFont="1" applyFill="1" applyBorder="1" applyAlignment="1">
      <alignment horizontal="center" vertical="center" wrapText="1"/>
    </xf>
    <xf numFmtId="1" fontId="11" fillId="2" borderId="2" xfId="2" applyNumberFormat="1" applyFont="1" applyFill="1" applyBorder="1" applyAlignment="1">
      <alignment horizontal="center" vertical="center" wrapText="1"/>
    </xf>
    <xf numFmtId="1" fontId="11" fillId="2" borderId="9" xfId="2" applyNumberFormat="1" applyFont="1" applyFill="1" applyBorder="1" applyAlignment="1">
      <alignment horizontal="center" vertical="center" wrapText="1"/>
    </xf>
    <xf numFmtId="1" fontId="11" fillId="2" borderId="10" xfId="2" applyNumberFormat="1" applyFont="1" applyFill="1" applyBorder="1" applyAlignment="1">
      <alignment horizontal="center" vertical="center" wrapText="1"/>
    </xf>
    <xf numFmtId="1" fontId="11" fillId="2" borderId="1" xfId="4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2" xfId="3" applyFont="1" applyFill="1" applyBorder="1" applyAlignment="1" applyProtection="1">
      <alignment horizontal="center" vertical="top" wrapText="1"/>
    </xf>
    <xf numFmtId="0" fontId="11" fillId="6" borderId="10" xfId="3" applyFont="1" applyFill="1" applyBorder="1" applyAlignment="1" applyProtection="1">
      <alignment horizontal="center" vertical="top" wrapText="1"/>
    </xf>
    <xf numFmtId="12" fontId="11" fillId="6" borderId="2" xfId="4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2" borderId="2" xfId="3" applyFont="1" applyFill="1" applyBorder="1" applyAlignment="1" applyProtection="1">
      <alignment horizontal="center" vertical="center" wrapText="1"/>
    </xf>
    <xf numFmtId="0" fontId="11" fillId="2" borderId="9" xfId="3" applyFont="1" applyFill="1" applyBorder="1" applyAlignment="1" applyProtection="1">
      <alignment horizontal="center" vertical="center" wrapText="1"/>
    </xf>
    <xf numFmtId="0" fontId="11" fillId="2" borderId="10" xfId="3" applyFont="1" applyFill="1" applyBorder="1" applyAlignment="1" applyProtection="1">
      <alignment horizontal="center" vertical="center" wrapText="1"/>
    </xf>
    <xf numFmtId="1" fontId="11" fillId="2" borderId="1" xfId="2" applyNumberFormat="1" applyFont="1" applyFill="1" applyBorder="1" applyAlignment="1">
      <alignment horizontal="center" vertical="center" wrapText="1"/>
    </xf>
    <xf numFmtId="9" fontId="9" fillId="10" borderId="1" xfId="2" applyFont="1" applyFill="1" applyBorder="1" applyAlignment="1">
      <alignment horizontal="center" vertical="center" wrapText="1"/>
    </xf>
    <xf numFmtId="9" fontId="9" fillId="10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9" fontId="9" fillId="0" borderId="10" xfId="0" applyNumberFormat="1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169" fontId="11" fillId="2" borderId="1" xfId="1" applyNumberFormat="1" applyFont="1" applyFill="1" applyBorder="1" applyAlignment="1">
      <alignment horizontal="center" vertical="center"/>
    </xf>
    <xf numFmtId="9" fontId="9" fillId="2" borderId="2" xfId="0" applyNumberFormat="1" applyFont="1" applyFill="1" applyBorder="1" applyAlignment="1">
      <alignment horizontal="center" vertical="center" wrapText="1"/>
    </xf>
    <xf numFmtId="9" fontId="9" fillId="2" borderId="10" xfId="0" applyNumberFormat="1" applyFont="1" applyFill="1" applyBorder="1" applyAlignment="1">
      <alignment horizontal="center" vertical="center" wrapText="1"/>
    </xf>
    <xf numFmtId="165" fontId="10" fillId="2" borderId="2" xfId="7" applyFont="1" applyFill="1" applyBorder="1" applyAlignment="1">
      <alignment horizontal="center" vertical="center" wrapText="1"/>
    </xf>
    <xf numFmtId="165" fontId="10" fillId="2" borderId="10" xfId="7" applyFont="1" applyFill="1" applyBorder="1" applyAlignment="1">
      <alignment horizontal="center" vertical="center" wrapText="1"/>
    </xf>
    <xf numFmtId="0" fontId="11" fillId="6" borderId="9" xfId="3" applyFont="1" applyFill="1" applyBorder="1" applyAlignment="1" applyProtection="1">
      <alignment horizontal="center" vertical="top" wrapText="1"/>
    </xf>
    <xf numFmtId="16" fontId="11" fillId="2" borderId="2" xfId="3" applyNumberFormat="1" applyFont="1" applyFill="1" applyBorder="1" applyAlignment="1" applyProtection="1">
      <alignment horizontal="center" vertical="center" wrapText="1"/>
    </xf>
    <xf numFmtId="16" fontId="11" fillId="2" borderId="10" xfId="3" applyNumberFormat="1" applyFont="1" applyFill="1" applyBorder="1" applyAlignment="1" applyProtection="1">
      <alignment horizontal="center" vertical="center" wrapText="1"/>
    </xf>
    <xf numFmtId="12" fontId="11" fillId="0" borderId="2" xfId="4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2" borderId="2" xfId="3" applyFont="1" applyFill="1" applyBorder="1" applyAlignment="1" applyProtection="1">
      <alignment horizontal="left" vertical="center" wrapText="1"/>
    </xf>
    <xf numFmtId="0" fontId="11" fillId="2" borderId="10" xfId="3" applyFont="1" applyFill="1" applyBorder="1" applyAlignment="1" applyProtection="1">
      <alignment horizontal="left" vertical="center" wrapText="1"/>
    </xf>
    <xf numFmtId="0" fontId="9" fillId="6" borderId="2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1" fontId="11" fillId="6" borderId="2" xfId="2" applyNumberFormat="1" applyFont="1" applyFill="1" applyBorder="1" applyAlignment="1">
      <alignment horizontal="center" vertical="center" wrapText="1"/>
    </xf>
    <xf numFmtId="1" fontId="11" fillId="6" borderId="10" xfId="2" applyNumberFormat="1" applyFont="1" applyFill="1" applyBorder="1" applyAlignment="1">
      <alignment horizontal="center" vertical="center" wrapText="1"/>
    </xf>
    <xf numFmtId="10" fontId="9" fillId="6" borderId="1" xfId="4" applyNumberFormat="1" applyFont="1" applyFill="1" applyBorder="1" applyAlignment="1">
      <alignment horizontal="left" vertical="center" wrapText="1"/>
    </xf>
    <xf numFmtId="9" fontId="11" fillId="12" borderId="1" xfId="2" applyNumberFormat="1" applyFont="1" applyFill="1" applyBorder="1" applyAlignment="1">
      <alignment horizontal="center" vertical="center" wrapText="1"/>
    </xf>
    <xf numFmtId="10" fontId="11" fillId="6" borderId="1" xfId="4" applyNumberFormat="1" applyFont="1" applyFill="1" applyBorder="1" applyAlignment="1">
      <alignment horizontal="left" vertical="center" wrapText="1"/>
    </xf>
    <xf numFmtId="0" fontId="11" fillId="2" borderId="1" xfId="4" applyNumberFormat="1" applyFont="1" applyFill="1" applyBorder="1" applyAlignment="1">
      <alignment horizontal="center" vertical="center"/>
    </xf>
    <xf numFmtId="9" fontId="11" fillId="2" borderId="2" xfId="2" applyFont="1" applyFill="1" applyBorder="1" applyAlignment="1">
      <alignment horizontal="center" vertical="center"/>
    </xf>
    <xf numFmtId="9" fontId="11" fillId="2" borderId="9" xfId="2" applyFont="1" applyFill="1" applyBorder="1" applyAlignment="1">
      <alignment horizontal="center" vertical="center"/>
    </xf>
    <xf numFmtId="9" fontId="11" fillId="2" borderId="10" xfId="2" applyFont="1" applyFill="1" applyBorder="1" applyAlignment="1">
      <alignment horizontal="center" vertical="center"/>
    </xf>
    <xf numFmtId="1" fontId="11" fillId="2" borderId="1" xfId="4" applyNumberFormat="1" applyFont="1" applyFill="1" applyBorder="1" applyAlignment="1">
      <alignment horizontal="center" vertical="center" wrapText="1"/>
    </xf>
    <xf numFmtId="9" fontId="11" fillId="10" borderId="1" xfId="4" applyNumberFormat="1" applyFont="1" applyFill="1" applyBorder="1" applyAlignment="1">
      <alignment horizontal="center" vertical="center" wrapText="1"/>
    </xf>
    <xf numFmtId="9" fontId="11" fillId="2" borderId="1" xfId="2" applyFont="1" applyFill="1" applyBorder="1" applyAlignment="1">
      <alignment horizontal="center" vertical="center"/>
    </xf>
    <xf numFmtId="9" fontId="11" fillId="9" borderId="1" xfId="4" applyNumberFormat="1" applyFont="1" applyFill="1" applyBorder="1" applyAlignment="1">
      <alignment horizontal="center" vertical="center"/>
    </xf>
    <xf numFmtId="12" fontId="11" fillId="2" borderId="2" xfId="2" applyNumberFormat="1" applyFont="1" applyFill="1" applyBorder="1" applyAlignment="1">
      <alignment horizontal="center" vertical="center"/>
    </xf>
    <xf numFmtId="10" fontId="11" fillId="2" borderId="9" xfId="2" applyNumberFormat="1" applyFont="1" applyFill="1" applyBorder="1" applyAlignment="1">
      <alignment horizontal="center" vertical="center"/>
    </xf>
    <xf numFmtId="10" fontId="11" fillId="2" borderId="10" xfId="2" applyNumberFormat="1" applyFont="1" applyFill="1" applyBorder="1" applyAlignment="1">
      <alignment horizontal="center" vertical="center"/>
    </xf>
    <xf numFmtId="10" fontId="11" fillId="2" borderId="2" xfId="4" applyNumberFormat="1" applyFont="1" applyFill="1" applyBorder="1" applyAlignment="1">
      <alignment horizontal="left" vertical="center" wrapText="1"/>
    </xf>
    <xf numFmtId="10" fontId="11" fillId="2" borderId="9" xfId="4" applyNumberFormat="1" applyFont="1" applyFill="1" applyBorder="1" applyAlignment="1">
      <alignment horizontal="left" vertical="center" wrapText="1"/>
    </xf>
    <xf numFmtId="10" fontId="11" fillId="2" borderId="10" xfId="4" applyNumberFormat="1" applyFont="1" applyFill="1" applyBorder="1" applyAlignment="1">
      <alignment horizontal="left" vertical="center" wrapText="1"/>
    </xf>
    <xf numFmtId="9" fontId="11" fillId="2" borderId="2" xfId="4" applyNumberFormat="1" applyFont="1" applyFill="1" applyBorder="1" applyAlignment="1">
      <alignment horizontal="center" vertical="center" wrapText="1"/>
    </xf>
    <xf numFmtId="168" fontId="11" fillId="2" borderId="1" xfId="2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2" borderId="1" xfId="3" applyFont="1" applyFill="1" applyBorder="1" applyAlignment="1" applyProtection="1">
      <alignment horizontal="center" vertical="center" wrapText="1"/>
    </xf>
    <xf numFmtId="9" fontId="11" fillId="12" borderId="1" xfId="0" applyNumberFormat="1" applyFont="1" applyFill="1" applyBorder="1" applyAlignment="1">
      <alignment horizontal="center" vertical="center" wrapText="1"/>
    </xf>
    <xf numFmtId="9" fontId="9" fillId="2" borderId="1" xfId="2" applyNumberFormat="1" applyFont="1" applyFill="1" applyBorder="1" applyAlignment="1">
      <alignment horizontal="center" vertical="center" wrapText="1"/>
    </xf>
    <xf numFmtId="9" fontId="9" fillId="12" borderId="1" xfId="2" applyFont="1" applyFill="1" applyBorder="1" applyAlignment="1">
      <alignment horizontal="center" vertical="center" wrapText="1"/>
    </xf>
    <xf numFmtId="9" fontId="10" fillId="12" borderId="1" xfId="2" applyNumberFormat="1" applyFont="1" applyFill="1" applyBorder="1" applyAlignment="1">
      <alignment horizontal="center" vertical="center" wrapText="1"/>
    </xf>
    <xf numFmtId="9" fontId="9" fillId="12" borderId="1" xfId="2" applyNumberFormat="1" applyFont="1" applyFill="1" applyBorder="1" applyAlignment="1">
      <alignment horizontal="center" vertical="center" wrapText="1"/>
    </xf>
    <xf numFmtId="9" fontId="11" fillId="12" borderId="2" xfId="2" applyNumberFormat="1" applyFont="1" applyFill="1" applyBorder="1" applyAlignment="1">
      <alignment horizontal="center" vertical="center" wrapText="1"/>
    </xf>
    <xf numFmtId="9" fontId="11" fillId="12" borderId="9" xfId="2" applyNumberFormat="1" applyFont="1" applyFill="1" applyBorder="1" applyAlignment="1">
      <alignment horizontal="center" vertical="center" wrapText="1"/>
    </xf>
    <xf numFmtId="9" fontId="11" fillId="12" borderId="10" xfId="2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1" fillId="6" borderId="2" xfId="2" applyNumberFormat="1" applyFont="1" applyFill="1" applyBorder="1" applyAlignment="1">
      <alignment horizontal="center" vertical="center"/>
    </xf>
    <xf numFmtId="1" fontId="11" fillId="6" borderId="9" xfId="2" applyNumberFormat="1" applyFont="1" applyFill="1" applyBorder="1" applyAlignment="1">
      <alignment horizontal="center" vertical="center"/>
    </xf>
    <xf numFmtId="1" fontId="11" fillId="6" borderId="10" xfId="2" applyNumberFormat="1" applyFont="1" applyFill="1" applyBorder="1" applyAlignment="1">
      <alignment horizontal="center" vertical="center"/>
    </xf>
    <xf numFmtId="9" fontId="11" fillId="2" borderId="1" xfId="2" applyNumberFormat="1" applyFont="1" applyFill="1" applyBorder="1" applyAlignment="1">
      <alignment horizontal="center" vertical="center"/>
    </xf>
    <xf numFmtId="9" fontId="11" fillId="10" borderId="1" xfId="2" applyNumberFormat="1" applyFont="1" applyFill="1" applyBorder="1" applyAlignment="1">
      <alignment horizontal="center" vertical="center"/>
    </xf>
    <xf numFmtId="168" fontId="11" fillId="0" borderId="2" xfId="0" applyNumberFormat="1" applyFont="1" applyBorder="1" applyAlignment="1">
      <alignment horizontal="center" vertical="center"/>
    </xf>
    <xf numFmtId="168" fontId="11" fillId="0" borderId="9" xfId="0" applyNumberFormat="1" applyFont="1" applyBorder="1" applyAlignment="1">
      <alignment horizontal="center" vertical="center"/>
    </xf>
    <xf numFmtId="168" fontId="11" fillId="0" borderId="10" xfId="0" applyNumberFormat="1" applyFont="1" applyBorder="1" applyAlignment="1">
      <alignment horizontal="center" vertical="center"/>
    </xf>
    <xf numFmtId="9" fontId="9" fillId="6" borderId="2" xfId="0" applyNumberFormat="1" applyFont="1" applyFill="1" applyBorder="1" applyAlignment="1">
      <alignment horizontal="center" vertical="center" wrapText="1"/>
    </xf>
    <xf numFmtId="9" fontId="9" fillId="6" borderId="10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9" fontId="9" fillId="0" borderId="10" xfId="0" applyNumberFormat="1" applyFont="1" applyBorder="1" applyAlignment="1">
      <alignment horizontal="center" vertical="center" wrapText="1"/>
    </xf>
    <xf numFmtId="9" fontId="9" fillId="0" borderId="9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168" fontId="9" fillId="2" borderId="2" xfId="0" applyNumberFormat="1" applyFont="1" applyFill="1" applyBorder="1" applyAlignment="1">
      <alignment horizontal="center" vertical="center" wrapText="1"/>
    </xf>
    <xf numFmtId="168" fontId="9" fillId="2" borderId="10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left" vertical="center" wrapText="1"/>
    </xf>
    <xf numFmtId="0" fontId="11" fillId="10" borderId="9" xfId="0" applyFont="1" applyFill="1" applyBorder="1" applyAlignment="1">
      <alignment horizontal="left" vertical="center" wrapText="1"/>
    </xf>
    <xf numFmtId="0" fontId="11" fillId="10" borderId="10" xfId="0" applyFont="1" applyFill="1" applyBorder="1" applyAlignment="1">
      <alignment horizontal="left" vertical="center" wrapText="1"/>
    </xf>
    <xf numFmtId="9" fontId="9" fillId="12" borderId="2" xfId="2" applyNumberFormat="1" applyFont="1" applyFill="1" applyBorder="1" applyAlignment="1">
      <alignment horizontal="center" vertical="center" wrapText="1"/>
    </xf>
    <xf numFmtId="9" fontId="9" fillId="12" borderId="9" xfId="2" applyNumberFormat="1" applyFont="1" applyFill="1" applyBorder="1" applyAlignment="1">
      <alignment horizontal="center" vertical="center" wrapText="1"/>
    </xf>
    <xf numFmtId="9" fontId="9" fillId="12" borderId="10" xfId="2" applyNumberFormat="1" applyFont="1" applyFill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9" fontId="9" fillId="6" borderId="2" xfId="0" applyNumberFormat="1" applyFont="1" applyFill="1" applyBorder="1" applyAlignment="1">
      <alignment horizontal="center" vertical="center"/>
    </xf>
    <xf numFmtId="9" fontId="9" fillId="6" borderId="9" xfId="0" applyNumberFormat="1" applyFont="1" applyFill="1" applyBorder="1" applyAlignment="1">
      <alignment horizontal="center" vertical="center"/>
    </xf>
    <xf numFmtId="9" fontId="9" fillId="6" borderId="10" xfId="0" applyNumberFormat="1" applyFont="1" applyFill="1" applyBorder="1" applyAlignment="1">
      <alignment horizontal="center" vertical="center"/>
    </xf>
    <xf numFmtId="9" fontId="9" fillId="0" borderId="9" xfId="0" applyNumberFormat="1" applyFont="1" applyBorder="1" applyAlignment="1">
      <alignment horizontal="center" vertical="center"/>
    </xf>
    <xf numFmtId="169" fontId="11" fillId="2" borderId="2" xfId="1" applyNumberFormat="1" applyFont="1" applyFill="1" applyBorder="1" applyAlignment="1">
      <alignment horizontal="center" vertical="center"/>
    </xf>
    <xf numFmtId="169" fontId="11" fillId="2" borderId="9" xfId="1" applyNumberFormat="1" applyFont="1" applyFill="1" applyBorder="1" applyAlignment="1">
      <alignment horizontal="center" vertical="center"/>
    </xf>
    <xf numFmtId="169" fontId="11" fillId="2" borderId="10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9" fontId="9" fillId="12" borderId="1" xfId="0" applyNumberFormat="1" applyFont="1" applyFill="1" applyBorder="1" applyAlignment="1">
      <alignment horizontal="center" vertical="center" wrapText="1"/>
    </xf>
    <xf numFmtId="9" fontId="11" fillId="12" borderId="1" xfId="4" applyNumberFormat="1" applyFont="1" applyFill="1" applyBorder="1" applyAlignment="1">
      <alignment horizontal="center" vertical="center" wrapText="1"/>
    </xf>
    <xf numFmtId="9" fontId="9" fillId="0" borderId="2" xfId="2" applyNumberFormat="1" applyFont="1" applyBorder="1" applyAlignment="1">
      <alignment horizontal="center" vertical="center" wrapText="1"/>
    </xf>
    <xf numFmtId="9" fontId="9" fillId="0" borderId="9" xfId="2" applyNumberFormat="1" applyFont="1" applyBorder="1" applyAlignment="1">
      <alignment horizontal="center" vertical="center" wrapText="1"/>
    </xf>
    <xf numFmtId="9" fontId="9" fillId="0" borderId="10" xfId="2" applyNumberFormat="1" applyFont="1" applyBorder="1" applyAlignment="1">
      <alignment horizontal="center" vertical="center" wrapText="1"/>
    </xf>
    <xf numFmtId="16" fontId="9" fillId="0" borderId="1" xfId="0" applyNumberFormat="1" applyFont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left" vertical="center" wrapText="1"/>
    </xf>
    <xf numFmtId="168" fontId="9" fillId="2" borderId="1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left" vertical="center" wrapText="1"/>
    </xf>
    <xf numFmtId="165" fontId="10" fillId="2" borderId="2" xfId="7" applyFont="1" applyFill="1" applyBorder="1" applyAlignment="1">
      <alignment horizontal="center" vertical="center"/>
    </xf>
    <xf numFmtId="165" fontId="10" fillId="2" borderId="10" xfId="7" applyFont="1" applyFill="1" applyBorder="1" applyAlignment="1">
      <alignment horizontal="center" vertical="center"/>
    </xf>
    <xf numFmtId="9" fontId="11" fillId="12" borderId="1" xfId="2" applyFont="1" applyFill="1" applyBorder="1" applyAlignment="1">
      <alignment horizontal="center" vertical="center" wrapText="1"/>
    </xf>
    <xf numFmtId="9" fontId="11" fillId="2" borderId="1" xfId="0" applyNumberFormat="1" applyFont="1" applyFill="1" applyBorder="1" applyAlignment="1">
      <alignment horizontal="center" vertical="center" wrapText="1"/>
    </xf>
    <xf numFmtId="10" fontId="9" fillId="10" borderId="1" xfId="4" applyNumberFormat="1" applyFont="1" applyFill="1" applyBorder="1" applyAlignment="1">
      <alignment horizontal="left" vertical="center" wrapText="1"/>
    </xf>
    <xf numFmtId="10" fontId="9" fillId="10" borderId="2" xfId="4" applyNumberFormat="1" applyFont="1" applyFill="1" applyBorder="1" applyAlignment="1">
      <alignment horizontal="left" vertical="center" wrapText="1"/>
    </xf>
    <xf numFmtId="1" fontId="11" fillId="6" borderId="2" xfId="4" applyNumberFormat="1" applyFont="1" applyFill="1" applyBorder="1" applyAlignment="1">
      <alignment horizontal="center" vertical="center"/>
    </xf>
    <xf numFmtId="1" fontId="11" fillId="6" borderId="10" xfId="4" applyNumberFormat="1" applyFont="1" applyFill="1" applyBorder="1" applyAlignment="1">
      <alignment horizontal="center" vertical="center"/>
    </xf>
    <xf numFmtId="9" fontId="11" fillId="2" borderId="2" xfId="2" applyNumberFormat="1" applyFont="1" applyFill="1" applyBorder="1" applyAlignment="1">
      <alignment horizontal="center" vertical="center"/>
    </xf>
    <xf numFmtId="9" fontId="11" fillId="2" borderId="9" xfId="2" applyNumberFormat="1" applyFont="1" applyFill="1" applyBorder="1" applyAlignment="1">
      <alignment horizontal="center" vertical="center"/>
    </xf>
    <xf numFmtId="9" fontId="11" fillId="2" borderId="10" xfId="2" applyNumberFormat="1" applyFont="1" applyFill="1" applyBorder="1" applyAlignment="1">
      <alignment horizontal="center" vertical="center"/>
    </xf>
    <xf numFmtId="168" fontId="11" fillId="0" borderId="2" xfId="2" applyNumberFormat="1" applyFont="1" applyBorder="1" applyAlignment="1">
      <alignment horizontal="center" vertical="center"/>
    </xf>
    <xf numFmtId="168" fontId="11" fillId="0" borderId="10" xfId="2" applyNumberFormat="1" applyFont="1" applyBorder="1" applyAlignment="1">
      <alignment horizontal="center" vertical="center"/>
    </xf>
    <xf numFmtId="9" fontId="9" fillId="0" borderId="1" xfId="2" applyFont="1" applyBorder="1" applyAlignment="1">
      <alignment horizontal="center" vertical="center"/>
    </xf>
    <xf numFmtId="168" fontId="11" fillId="2" borderId="1" xfId="2" applyNumberFormat="1" applyFont="1" applyFill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168" fontId="9" fillId="2" borderId="1" xfId="0" applyNumberFormat="1" applyFont="1" applyFill="1" applyBorder="1" applyAlignment="1">
      <alignment horizontal="center" vertical="center"/>
    </xf>
    <xf numFmtId="9" fontId="11" fillId="2" borderId="2" xfId="0" applyNumberFormat="1" applyFont="1" applyFill="1" applyBorder="1" applyAlignment="1">
      <alignment horizontal="center" vertical="center" wrapText="1"/>
    </xf>
    <xf numFmtId="9" fontId="11" fillId="2" borderId="10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 applyProtection="1">
      <alignment horizontal="center" vertical="center" wrapText="1"/>
    </xf>
    <xf numFmtId="0" fontId="11" fillId="0" borderId="9" xfId="3" applyFont="1" applyFill="1" applyBorder="1" applyAlignment="1" applyProtection="1">
      <alignment horizontal="center" vertical="center" wrapText="1"/>
    </xf>
    <xf numFmtId="0" fontId="11" fillId="0" borderId="10" xfId="3" applyFont="1" applyFill="1" applyBorder="1" applyAlignment="1" applyProtection="1">
      <alignment horizontal="center" vertical="center" wrapText="1"/>
    </xf>
    <xf numFmtId="168" fontId="11" fillId="2" borderId="2" xfId="2" applyNumberFormat="1" applyFont="1" applyFill="1" applyBorder="1" applyAlignment="1">
      <alignment horizontal="center" vertical="center"/>
    </xf>
    <xf numFmtId="168" fontId="11" fillId="2" borderId="10" xfId="2" applyNumberFormat="1" applyFont="1" applyFill="1" applyBorder="1" applyAlignment="1">
      <alignment horizontal="center" vertical="center"/>
    </xf>
    <xf numFmtId="9" fontId="9" fillId="12" borderId="2" xfId="2" applyFont="1" applyFill="1" applyBorder="1" applyAlignment="1">
      <alignment horizontal="center" vertical="center" wrapText="1"/>
    </xf>
    <xf numFmtId="9" fontId="9" fillId="12" borderId="9" xfId="2" applyFont="1" applyFill="1" applyBorder="1" applyAlignment="1">
      <alignment horizontal="center" vertical="center" wrapText="1"/>
    </xf>
    <xf numFmtId="9" fontId="9" fillId="12" borderId="10" xfId="2" applyFont="1" applyFill="1" applyBorder="1" applyAlignment="1">
      <alignment horizontal="center" vertical="center" wrapText="1"/>
    </xf>
    <xf numFmtId="1" fontId="11" fillId="6" borderId="1" xfId="2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10" fontId="9" fillId="0" borderId="2" xfId="2" applyNumberFormat="1" applyFont="1" applyBorder="1" applyAlignment="1">
      <alignment horizontal="center" vertical="center" wrapText="1"/>
    </xf>
    <xf numFmtId="10" fontId="9" fillId="0" borderId="10" xfId="2" applyNumberFormat="1" applyFont="1" applyBorder="1" applyAlignment="1">
      <alignment horizontal="center" vertical="center" wrapText="1"/>
    </xf>
    <xf numFmtId="168" fontId="9" fillId="10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9" fontId="11" fillId="9" borderId="1" xfId="0" applyNumberFormat="1" applyFont="1" applyFill="1" applyBorder="1" applyAlignment="1">
      <alignment horizontal="center" vertical="center"/>
    </xf>
    <xf numFmtId="9" fontId="9" fillId="10" borderId="1" xfId="0" applyNumberFormat="1" applyFont="1" applyFill="1" applyBorder="1" applyAlignment="1">
      <alignment horizontal="center" vertical="center"/>
    </xf>
    <xf numFmtId="168" fontId="9" fillId="10" borderId="1" xfId="2" applyNumberFormat="1" applyFont="1" applyFill="1" applyBorder="1" applyAlignment="1">
      <alignment horizontal="center" vertical="center"/>
    </xf>
    <xf numFmtId="9" fontId="11" fillId="6" borderId="2" xfId="0" applyNumberFormat="1" applyFont="1" applyFill="1" applyBorder="1" applyAlignment="1">
      <alignment horizontal="center" vertical="center"/>
    </xf>
    <xf numFmtId="9" fontId="11" fillId="6" borderId="10" xfId="0" applyNumberFormat="1" applyFont="1" applyFill="1" applyBorder="1" applyAlignment="1">
      <alignment horizontal="center" vertical="center"/>
    </xf>
    <xf numFmtId="9" fontId="11" fillId="2" borderId="2" xfId="0" applyNumberFormat="1" applyFont="1" applyFill="1" applyBorder="1" applyAlignment="1">
      <alignment horizontal="center" vertical="center"/>
    </xf>
    <xf numFmtId="9" fontId="11" fillId="2" borderId="10" xfId="0" applyNumberFormat="1" applyFont="1" applyFill="1" applyBorder="1" applyAlignment="1">
      <alignment horizontal="center" vertical="center"/>
    </xf>
    <xf numFmtId="168" fontId="9" fillId="0" borderId="2" xfId="2" applyNumberFormat="1" applyFont="1" applyBorder="1" applyAlignment="1">
      <alignment horizontal="center" vertical="center"/>
    </xf>
    <xf numFmtId="168" fontId="9" fillId="0" borderId="9" xfId="2" applyNumberFormat="1" applyFont="1" applyBorder="1" applyAlignment="1">
      <alignment horizontal="center" vertical="center"/>
    </xf>
    <xf numFmtId="168" fontId="9" fillId="0" borderId="10" xfId="2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2" borderId="9" xfId="3" applyFont="1" applyFill="1" applyBorder="1" applyAlignment="1" applyProtection="1">
      <alignment horizontal="left" vertical="center" wrapText="1"/>
    </xf>
    <xf numFmtId="10" fontId="11" fillId="2" borderId="1" xfId="4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" fontId="11" fillId="2" borderId="1" xfId="2" applyNumberFormat="1" applyFont="1" applyFill="1" applyBorder="1" applyAlignment="1">
      <alignment horizontal="center" vertical="center"/>
    </xf>
    <xf numFmtId="16" fontId="9" fillId="0" borderId="2" xfId="0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8" fillId="3" borderId="1" xfId="3" applyFont="1" applyFill="1" applyBorder="1" applyAlignment="1" applyProtection="1">
      <alignment horizontal="center" vertical="center" wrapText="1"/>
    </xf>
    <xf numFmtId="0" fontId="8" fillId="3" borderId="2" xfId="3" applyFont="1" applyFill="1" applyBorder="1" applyAlignment="1" applyProtection="1">
      <alignment horizontal="center" vertical="center" wrapText="1"/>
    </xf>
    <xf numFmtId="0" fontId="9" fillId="6" borderId="1" xfId="0" applyFont="1" applyFill="1" applyBorder="1" applyAlignment="1">
      <alignment horizontal="left" vertical="center"/>
    </xf>
    <xf numFmtId="0" fontId="8" fillId="3" borderId="10" xfId="3" applyFont="1" applyFill="1" applyBorder="1" applyAlignment="1" applyProtection="1">
      <alignment horizontal="center" vertical="center" wrapText="1"/>
    </xf>
    <xf numFmtId="0" fontId="8" fillId="3" borderId="20" xfId="3" applyFont="1" applyFill="1" applyBorder="1" applyAlignment="1" applyProtection="1">
      <alignment horizontal="center" vertical="center" wrapText="1"/>
    </xf>
    <xf numFmtId="0" fontId="8" fillId="3" borderId="8" xfId="3" applyFont="1" applyFill="1" applyBorder="1" applyAlignment="1" applyProtection="1">
      <alignment horizontal="center" vertical="center" wrapText="1"/>
    </xf>
    <xf numFmtId="0" fontId="8" fillId="3" borderId="4" xfId="3" applyFont="1" applyFill="1" applyBorder="1" applyAlignment="1" applyProtection="1">
      <alignment horizontal="center" vertical="center" wrapText="1"/>
    </xf>
    <xf numFmtId="0" fontId="14" fillId="0" borderId="1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7" fillId="3" borderId="3" xfId="3" applyFont="1" applyFill="1" applyBorder="1" applyAlignment="1" applyProtection="1">
      <alignment horizontal="center" vertical="center" wrapText="1"/>
    </xf>
    <xf numFmtId="0" fontId="7" fillId="3" borderId="0" xfId="3" applyFont="1" applyFill="1" applyBorder="1" applyAlignment="1" applyProtection="1">
      <alignment horizontal="center" vertical="center" wrapText="1"/>
    </xf>
    <xf numFmtId="0" fontId="7" fillId="3" borderId="1" xfId="3" applyFont="1" applyFill="1" applyBorder="1" applyAlignment="1" applyProtection="1">
      <alignment horizontal="center" vertical="center" wrapText="1"/>
    </xf>
    <xf numFmtId="0" fontId="7" fillId="3" borderId="2" xfId="3" applyFont="1" applyFill="1" applyBorder="1" applyAlignment="1" applyProtection="1">
      <alignment horizontal="center" vertical="center" wrapText="1"/>
    </xf>
    <xf numFmtId="0" fontId="7" fillId="3" borderId="9" xfId="3" applyFont="1" applyFill="1" applyBorder="1" applyAlignment="1" applyProtection="1">
      <alignment horizontal="center" vertical="center" wrapText="1"/>
    </xf>
    <xf numFmtId="0" fontId="7" fillId="3" borderId="10" xfId="3" applyFont="1" applyFill="1" applyBorder="1" applyAlignment="1" applyProtection="1">
      <alignment horizontal="center" vertical="center" wrapText="1"/>
    </xf>
    <xf numFmtId="0" fontId="8" fillId="3" borderId="9" xfId="3" applyFont="1" applyFill="1" applyBorder="1" applyAlignment="1" applyProtection="1">
      <alignment horizontal="center" vertical="center" wrapText="1"/>
    </xf>
    <xf numFmtId="0" fontId="8" fillId="5" borderId="16" xfId="3" applyFont="1" applyFill="1" applyBorder="1" applyAlignment="1" applyProtection="1">
      <alignment horizontal="center" vertical="center" wrapText="1"/>
    </xf>
    <xf numFmtId="0" fontId="8" fillId="5" borderId="1" xfId="3" applyFont="1" applyFill="1" applyBorder="1" applyAlignment="1" applyProtection="1">
      <alignment horizontal="center" vertical="center" wrapText="1"/>
    </xf>
    <xf numFmtId="0" fontId="8" fillId="4" borderId="1" xfId="3" applyFont="1" applyFill="1" applyBorder="1" applyAlignment="1" applyProtection="1">
      <alignment horizontal="center" vertical="center" wrapText="1"/>
    </xf>
    <xf numFmtId="0" fontId="8" fillId="3" borderId="1" xfId="3" applyFont="1" applyFill="1" applyBorder="1" applyAlignment="1" applyProtection="1">
      <alignment horizontal="center" vertical="top" wrapText="1"/>
    </xf>
    <xf numFmtId="0" fontId="8" fillId="3" borderId="2" xfId="3" applyFont="1" applyFill="1" applyBorder="1" applyAlignment="1" applyProtection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9" fontId="9" fillId="0" borderId="2" xfId="2" applyFont="1" applyBorder="1" applyAlignment="1">
      <alignment horizontal="center" vertical="center" wrapText="1"/>
    </xf>
    <xf numFmtId="9" fontId="9" fillId="0" borderId="9" xfId="2" applyFont="1" applyBorder="1" applyAlignment="1">
      <alignment horizontal="center" vertical="center" wrapText="1"/>
    </xf>
    <xf numFmtId="9" fontId="9" fillId="0" borderId="10" xfId="2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1" fontId="9" fillId="2" borderId="1" xfId="2" applyNumberFormat="1" applyFont="1" applyFill="1" applyBorder="1" applyAlignment="1">
      <alignment horizontal="center" vertical="center" wrapText="1"/>
    </xf>
    <xf numFmtId="167" fontId="9" fillId="2" borderId="1" xfId="2" applyNumberFormat="1" applyFont="1" applyFill="1" applyBorder="1" applyAlignment="1">
      <alignment horizontal="center" vertical="center" wrapText="1"/>
    </xf>
    <xf numFmtId="9" fontId="9" fillId="9" borderId="1" xfId="2" applyFont="1" applyFill="1" applyBorder="1" applyAlignment="1">
      <alignment horizontal="center" vertical="center" wrapText="1"/>
    </xf>
    <xf numFmtId="9" fontId="9" fillId="10" borderId="2" xfId="2" applyFont="1" applyFill="1" applyBorder="1" applyAlignment="1">
      <alignment horizontal="center" vertical="center" wrapText="1"/>
    </xf>
    <xf numFmtId="9" fontId="9" fillId="10" borderId="9" xfId="2" applyFont="1" applyFill="1" applyBorder="1" applyAlignment="1">
      <alignment horizontal="center" vertical="center" wrapText="1"/>
    </xf>
    <xf numFmtId="9" fontId="9" fillId="10" borderId="10" xfId="2" applyFont="1" applyFill="1" applyBorder="1" applyAlignment="1">
      <alignment horizontal="center" vertical="center" wrapText="1"/>
    </xf>
    <xf numFmtId="1" fontId="11" fillId="2" borderId="1" xfId="2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" fontId="11" fillId="2" borderId="2" xfId="4" applyNumberFormat="1" applyFont="1" applyFill="1" applyBorder="1" applyAlignment="1">
      <alignment horizontal="center" vertical="center"/>
    </xf>
    <xf numFmtId="1" fontId="11" fillId="2" borderId="10" xfId="4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left" vertical="center" wrapText="1"/>
    </xf>
    <xf numFmtId="10" fontId="11" fillId="2" borderId="1" xfId="2" applyNumberFormat="1" applyFont="1" applyFill="1" applyBorder="1" applyAlignment="1">
      <alignment horizontal="center" vertical="center"/>
    </xf>
    <xf numFmtId="9" fontId="11" fillId="10" borderId="1" xfId="2" applyFont="1" applyFill="1" applyBorder="1" applyAlignment="1">
      <alignment horizontal="center" vertical="center"/>
    </xf>
    <xf numFmtId="9" fontId="11" fillId="10" borderId="1" xfId="4" applyNumberFormat="1" applyFont="1" applyFill="1" applyBorder="1" applyAlignment="1">
      <alignment horizontal="center" vertical="center"/>
    </xf>
    <xf numFmtId="170" fontId="11" fillId="2" borderId="1" xfId="7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168" fontId="11" fillId="10" borderId="1" xfId="0" applyNumberFormat="1" applyFont="1" applyFill="1" applyBorder="1" applyAlignment="1">
      <alignment horizontal="center" vertical="center"/>
    </xf>
    <xf numFmtId="168" fontId="9" fillId="0" borderId="2" xfId="2" applyNumberFormat="1" applyFont="1" applyFill="1" applyBorder="1" applyAlignment="1">
      <alignment horizontal="center" vertical="center" wrapText="1"/>
    </xf>
    <xf numFmtId="168" fontId="9" fillId="0" borderId="9" xfId="2" applyNumberFormat="1" applyFont="1" applyFill="1" applyBorder="1" applyAlignment="1">
      <alignment horizontal="center" vertical="center" wrapText="1"/>
    </xf>
    <xf numFmtId="168" fontId="9" fillId="0" borderId="10" xfId="2" applyNumberFormat="1" applyFont="1" applyFill="1" applyBorder="1" applyAlignment="1">
      <alignment horizontal="center" vertical="center" wrapText="1"/>
    </xf>
    <xf numFmtId="9" fontId="9" fillId="10" borderId="2" xfId="0" applyNumberFormat="1" applyFont="1" applyFill="1" applyBorder="1" applyAlignment="1">
      <alignment horizontal="center" vertical="center" wrapText="1"/>
    </xf>
    <xf numFmtId="9" fontId="9" fillId="10" borderId="10" xfId="0" applyNumberFormat="1" applyFont="1" applyFill="1" applyBorder="1" applyAlignment="1">
      <alignment horizontal="center" vertical="center" wrapText="1"/>
    </xf>
    <xf numFmtId="9" fontId="9" fillId="10" borderId="1" xfId="2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9" fontId="11" fillId="9" borderId="1" xfId="2" applyNumberFormat="1" applyFont="1" applyFill="1" applyBorder="1" applyAlignment="1">
      <alignment horizontal="center" vertical="center" wrapText="1"/>
    </xf>
    <xf numFmtId="9" fontId="9" fillId="9" borderId="1" xfId="0" applyNumberFormat="1" applyFont="1" applyFill="1" applyBorder="1" applyAlignment="1">
      <alignment horizontal="center" vertical="center" wrapText="1"/>
    </xf>
    <xf numFmtId="9" fontId="11" fillId="10" borderId="1" xfId="2" applyFont="1" applyFill="1" applyBorder="1" applyAlignment="1">
      <alignment horizontal="center" vertical="center" wrapText="1"/>
    </xf>
    <xf numFmtId="10" fontId="11" fillId="6" borderId="2" xfId="4" applyNumberFormat="1" applyFont="1" applyFill="1" applyBorder="1" applyAlignment="1">
      <alignment horizontal="left" vertical="center" wrapText="1"/>
    </xf>
    <xf numFmtId="10" fontId="11" fillId="6" borderId="10" xfId="4" applyNumberFormat="1" applyFont="1" applyFill="1" applyBorder="1" applyAlignment="1">
      <alignment horizontal="left" vertical="center" wrapText="1"/>
    </xf>
    <xf numFmtId="9" fontId="9" fillId="2" borderId="2" xfId="0" applyNumberFormat="1" applyFont="1" applyFill="1" applyBorder="1" applyAlignment="1">
      <alignment horizontal="center" vertical="center"/>
    </xf>
    <xf numFmtId="9" fontId="9" fillId="2" borderId="10" xfId="0" applyNumberFormat="1" applyFont="1" applyFill="1" applyBorder="1" applyAlignment="1">
      <alignment horizontal="center" vertical="center"/>
    </xf>
    <xf numFmtId="9" fontId="11" fillId="6" borderId="2" xfId="2" applyFont="1" applyFill="1" applyBorder="1" applyAlignment="1">
      <alignment horizontal="center" vertical="center"/>
    </xf>
    <xf numFmtId="9" fontId="11" fillId="6" borderId="10" xfId="2" applyFont="1" applyFill="1" applyBorder="1" applyAlignment="1">
      <alignment horizontal="center" vertical="center"/>
    </xf>
    <xf numFmtId="9" fontId="11" fillId="6" borderId="1" xfId="7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2" borderId="2" xfId="3" applyFont="1" applyFill="1" applyBorder="1" applyAlignment="1" applyProtection="1">
      <alignment horizontal="center" vertical="top" wrapText="1"/>
    </xf>
    <xf numFmtId="0" fontId="11" fillId="2" borderId="9" xfId="3" applyFont="1" applyFill="1" applyBorder="1" applyAlignment="1" applyProtection="1">
      <alignment horizontal="center" vertical="top" wrapText="1"/>
    </xf>
    <xf numFmtId="0" fontId="11" fillId="2" borderId="10" xfId="3" applyFont="1" applyFill="1" applyBorder="1" applyAlignment="1" applyProtection="1">
      <alignment horizontal="center" vertical="top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9" fontId="9" fillId="0" borderId="2" xfId="2" applyNumberFormat="1" applyFont="1" applyBorder="1" applyAlignment="1">
      <alignment horizontal="center" vertical="center"/>
    </xf>
    <xf numFmtId="9" fontId="9" fillId="0" borderId="9" xfId="2" applyNumberFormat="1" applyFont="1" applyBorder="1" applyAlignment="1">
      <alignment horizontal="center" vertical="center"/>
    </xf>
    <xf numFmtId="9" fontId="9" fillId="0" borderId="10" xfId="2" applyNumberFormat="1" applyFont="1" applyBorder="1" applyAlignment="1">
      <alignment horizontal="center" vertical="center"/>
    </xf>
    <xf numFmtId="9" fontId="9" fillId="10" borderId="2" xfId="2" applyFont="1" applyFill="1" applyBorder="1" applyAlignment="1">
      <alignment horizontal="center" vertical="center"/>
    </xf>
    <xf numFmtId="9" fontId="9" fillId="10" borderId="9" xfId="2" applyFont="1" applyFill="1" applyBorder="1" applyAlignment="1">
      <alignment horizontal="center" vertical="center"/>
    </xf>
    <xf numFmtId="9" fontId="9" fillId="10" borderId="10" xfId="2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9" fontId="11" fillId="10" borderId="2" xfId="4" applyNumberFormat="1" applyFont="1" applyFill="1" applyBorder="1" applyAlignment="1">
      <alignment horizontal="center" vertical="center"/>
    </xf>
    <xf numFmtId="9" fontId="11" fillId="10" borderId="9" xfId="4" applyNumberFormat="1" applyFont="1" applyFill="1" applyBorder="1" applyAlignment="1">
      <alignment horizontal="center" vertical="center"/>
    </xf>
    <xf numFmtId="9" fontId="11" fillId="10" borderId="10" xfId="4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10" fontId="11" fillId="2" borderId="2" xfId="4" applyNumberFormat="1" applyFont="1" applyFill="1" applyBorder="1" applyAlignment="1">
      <alignment horizontal="left" vertical="top" wrapText="1"/>
    </xf>
    <xf numFmtId="10" fontId="11" fillId="2" borderId="10" xfId="4" applyNumberFormat="1" applyFont="1" applyFill="1" applyBorder="1" applyAlignment="1">
      <alignment horizontal="left" vertical="top" wrapText="1"/>
    </xf>
    <xf numFmtId="167" fontId="9" fillId="2" borderId="2" xfId="0" applyNumberFormat="1" applyFont="1" applyFill="1" applyBorder="1" applyAlignment="1">
      <alignment horizontal="center" vertical="top" wrapText="1"/>
    </xf>
    <xf numFmtId="167" fontId="9" fillId="2" borderId="10" xfId="0" applyNumberFormat="1" applyFont="1" applyFill="1" applyBorder="1" applyAlignment="1">
      <alignment horizontal="center" vertical="top" wrapText="1"/>
    </xf>
    <xf numFmtId="167" fontId="11" fillId="2" borderId="2" xfId="4" applyNumberFormat="1" applyFont="1" applyFill="1" applyBorder="1" applyAlignment="1">
      <alignment horizontal="center" vertical="top" wrapText="1"/>
    </xf>
    <xf numFmtId="167" fontId="11" fillId="2" borderId="10" xfId="4" applyNumberFormat="1" applyFont="1" applyFill="1" applyBorder="1" applyAlignment="1">
      <alignment horizontal="center" vertical="top" wrapText="1"/>
    </xf>
  </cellXfs>
  <cellStyles count="10">
    <cellStyle name="Millares" xfId="1" builtinId="3"/>
    <cellStyle name="Millares 2" xfId="8"/>
    <cellStyle name="Moneda" xfId="7" builtinId="4"/>
    <cellStyle name="Moneda 2" xfId="9"/>
    <cellStyle name="Normal" xfId="0" builtinId="0"/>
    <cellStyle name="Normal 2" xfId="4"/>
    <cellStyle name="Normal 2 3 3" xfId="3"/>
    <cellStyle name="Normal 3 10" xfId="6"/>
    <cellStyle name="Porcentual" xfId="2" builtinId="5"/>
    <cellStyle name="Texto explicativo 2" xfId="5"/>
  </cellStyles>
  <dxfs count="66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10</xdr:row>
      <xdr:rowOff>0</xdr:rowOff>
    </xdr:from>
    <xdr:ext cx="66675" cy="1619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67475" y="22669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66675" cy="161925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467475" y="22669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66675" cy="16192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467475" y="22669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30</xdr:row>
      <xdr:rowOff>0</xdr:rowOff>
    </xdr:from>
    <xdr:ext cx="66675" cy="16192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029950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30</xdr:row>
      <xdr:rowOff>0</xdr:rowOff>
    </xdr:from>
    <xdr:ext cx="66675" cy="1619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029950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30</xdr:row>
      <xdr:rowOff>0</xdr:rowOff>
    </xdr:from>
    <xdr:ext cx="66675" cy="16192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029950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66675" cy="16192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658225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66675" cy="16192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658225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66675" cy="16192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658225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66675" cy="16192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658225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66675" cy="16192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658225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66675" cy="16192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658225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30</xdr:row>
      <xdr:rowOff>0</xdr:rowOff>
    </xdr:from>
    <xdr:ext cx="66675" cy="16192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029950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30</xdr:row>
      <xdr:rowOff>0</xdr:rowOff>
    </xdr:from>
    <xdr:ext cx="66675" cy="16192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029950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30</xdr:row>
      <xdr:rowOff>0</xdr:rowOff>
    </xdr:from>
    <xdr:ext cx="66675" cy="16192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029950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7</xdr:col>
      <xdr:colOff>0</xdr:colOff>
      <xdr:row>60</xdr:row>
      <xdr:rowOff>0</xdr:rowOff>
    </xdr:from>
    <xdr:to>
      <xdr:col>10</xdr:col>
      <xdr:colOff>66675</xdr:colOff>
      <xdr:row>60</xdr:row>
      <xdr:rowOff>161925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8658225" y="174402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10</xdr:col>
      <xdr:colOff>66675</xdr:colOff>
      <xdr:row>60</xdr:row>
      <xdr:rowOff>161925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8658225" y="174402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10</xdr:col>
      <xdr:colOff>66675</xdr:colOff>
      <xdr:row>60</xdr:row>
      <xdr:rowOff>161925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8658225" y="174402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7</xdr:col>
      <xdr:colOff>0</xdr:colOff>
      <xdr:row>60</xdr:row>
      <xdr:rowOff>0</xdr:rowOff>
    </xdr:from>
    <xdr:ext cx="66675" cy="161925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8658225" y="174402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60</xdr:row>
      <xdr:rowOff>0</xdr:rowOff>
    </xdr:from>
    <xdr:ext cx="66675" cy="161925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8658225" y="174402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60</xdr:row>
      <xdr:rowOff>0</xdr:rowOff>
    </xdr:from>
    <xdr:ext cx="66675" cy="1619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8658225" y="174402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60</xdr:row>
      <xdr:rowOff>0</xdr:rowOff>
    </xdr:from>
    <xdr:ext cx="66675" cy="161925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8658225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60</xdr:row>
      <xdr:rowOff>0</xdr:rowOff>
    </xdr:from>
    <xdr:ext cx="66675" cy="16192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8658225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60</xdr:row>
      <xdr:rowOff>0</xdr:rowOff>
    </xdr:from>
    <xdr:ext cx="66675" cy="161925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8658225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60</xdr:row>
      <xdr:rowOff>0</xdr:rowOff>
    </xdr:from>
    <xdr:ext cx="66675" cy="161925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8658225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60</xdr:row>
      <xdr:rowOff>0</xdr:rowOff>
    </xdr:from>
    <xdr:ext cx="66675" cy="161925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8658225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60</xdr:row>
      <xdr:rowOff>0</xdr:rowOff>
    </xdr:from>
    <xdr:ext cx="66675" cy="161925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8658225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60</xdr:row>
      <xdr:rowOff>0</xdr:rowOff>
    </xdr:from>
    <xdr:ext cx="66675" cy="161925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8658225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60</xdr:row>
      <xdr:rowOff>0</xdr:rowOff>
    </xdr:from>
    <xdr:ext cx="66675" cy="161925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8658225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60</xdr:row>
      <xdr:rowOff>0</xdr:rowOff>
    </xdr:from>
    <xdr:ext cx="66675" cy="161925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8658225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60</xdr:row>
      <xdr:rowOff>0</xdr:rowOff>
    </xdr:from>
    <xdr:ext cx="66675" cy="161925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8658225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60</xdr:row>
      <xdr:rowOff>0</xdr:rowOff>
    </xdr:from>
    <xdr:ext cx="66675" cy="161925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8658225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60</xdr:row>
      <xdr:rowOff>0</xdr:rowOff>
    </xdr:from>
    <xdr:ext cx="66675" cy="161925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8658225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66675" cy="16192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10299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66675" cy="161925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10299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66675" cy="161925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10299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66675" cy="161925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110299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66675" cy="161925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110299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66675" cy="161925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10299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66675" cy="161925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110299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66675" cy="161925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10299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66675" cy="161925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110299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66675" cy="161925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10299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66675" cy="161925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10299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66675" cy="16192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10299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60</xdr:row>
      <xdr:rowOff>0</xdr:rowOff>
    </xdr:from>
    <xdr:ext cx="66675" cy="161925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1253490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88</xdr:row>
      <xdr:rowOff>0</xdr:rowOff>
    </xdr:from>
    <xdr:ext cx="66675" cy="16192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029950" y="20164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88</xdr:row>
      <xdr:rowOff>0</xdr:rowOff>
    </xdr:from>
    <xdr:ext cx="66675" cy="16192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029950" y="20164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88</xdr:row>
      <xdr:rowOff>0</xdr:rowOff>
    </xdr:from>
    <xdr:ext cx="66675" cy="16192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029950" y="20164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88</xdr:row>
      <xdr:rowOff>0</xdr:rowOff>
    </xdr:from>
    <xdr:ext cx="66675" cy="16192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658225" y="20164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88</xdr:row>
      <xdr:rowOff>0</xdr:rowOff>
    </xdr:from>
    <xdr:ext cx="66675" cy="16192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658225" y="20164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88</xdr:row>
      <xdr:rowOff>0</xdr:rowOff>
    </xdr:from>
    <xdr:ext cx="66675" cy="16192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658225" y="20164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88</xdr:row>
      <xdr:rowOff>0</xdr:rowOff>
    </xdr:from>
    <xdr:ext cx="66675" cy="16192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658225" y="20164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88</xdr:row>
      <xdr:rowOff>0</xdr:rowOff>
    </xdr:from>
    <xdr:ext cx="66675" cy="16192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658225" y="20164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88</xdr:row>
      <xdr:rowOff>0</xdr:rowOff>
    </xdr:from>
    <xdr:ext cx="66675" cy="16192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658225" y="20164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88</xdr:row>
      <xdr:rowOff>0</xdr:rowOff>
    </xdr:from>
    <xdr:ext cx="66675" cy="16192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029950" y="20164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88</xdr:row>
      <xdr:rowOff>0</xdr:rowOff>
    </xdr:from>
    <xdr:ext cx="66675" cy="16192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029950" y="20164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88</xdr:row>
      <xdr:rowOff>0</xdr:rowOff>
    </xdr:from>
    <xdr:ext cx="66675" cy="16192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029950" y="20164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104</xdr:row>
      <xdr:rowOff>0</xdr:rowOff>
    </xdr:from>
    <xdr:ext cx="66675" cy="161925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6467475" y="352139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104</xdr:row>
      <xdr:rowOff>0</xdr:rowOff>
    </xdr:from>
    <xdr:ext cx="66675" cy="161925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467475" y="352139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104</xdr:row>
      <xdr:rowOff>0</xdr:rowOff>
    </xdr:from>
    <xdr:ext cx="66675" cy="161925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6467475" y="352139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7</xdr:col>
      <xdr:colOff>0</xdr:colOff>
      <xdr:row>122</xdr:row>
      <xdr:rowOff>0</xdr:rowOff>
    </xdr:from>
    <xdr:to>
      <xdr:col>10</xdr:col>
      <xdr:colOff>66675</xdr:colOff>
      <xdr:row>122</xdr:row>
      <xdr:rowOff>161925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8658225" y="27403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122</xdr:row>
      <xdr:rowOff>0</xdr:rowOff>
    </xdr:from>
    <xdr:to>
      <xdr:col>10</xdr:col>
      <xdr:colOff>66675</xdr:colOff>
      <xdr:row>122</xdr:row>
      <xdr:rowOff>161925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8658225" y="27403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122</xdr:row>
      <xdr:rowOff>0</xdr:rowOff>
    </xdr:from>
    <xdr:to>
      <xdr:col>10</xdr:col>
      <xdr:colOff>66675</xdr:colOff>
      <xdr:row>122</xdr:row>
      <xdr:rowOff>161925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8658225" y="27403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7</xdr:col>
      <xdr:colOff>0</xdr:colOff>
      <xdr:row>122</xdr:row>
      <xdr:rowOff>0</xdr:rowOff>
    </xdr:from>
    <xdr:ext cx="66675" cy="16192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8658225" y="27403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122</xdr:row>
      <xdr:rowOff>0</xdr:rowOff>
    </xdr:from>
    <xdr:ext cx="66675" cy="161925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8658225" y="27403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122</xdr:row>
      <xdr:rowOff>0</xdr:rowOff>
    </xdr:from>
    <xdr:ext cx="66675" cy="161925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8658225" y="27403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66675" cy="16192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658225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66675" cy="16192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658225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30</xdr:row>
      <xdr:rowOff>0</xdr:rowOff>
    </xdr:from>
    <xdr:ext cx="66675" cy="16192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658225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30</xdr:row>
      <xdr:rowOff>0</xdr:rowOff>
    </xdr:from>
    <xdr:ext cx="66675" cy="16192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877050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30</xdr:row>
      <xdr:rowOff>0</xdr:rowOff>
    </xdr:from>
    <xdr:ext cx="66675" cy="16192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877050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30</xdr:row>
      <xdr:rowOff>0</xdr:rowOff>
    </xdr:from>
    <xdr:ext cx="66675" cy="16192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877050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30</xdr:row>
      <xdr:rowOff>0</xdr:rowOff>
    </xdr:from>
    <xdr:ext cx="66675" cy="16192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67475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30</xdr:row>
      <xdr:rowOff>0</xdr:rowOff>
    </xdr:from>
    <xdr:ext cx="66675" cy="16192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67475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30</xdr:row>
      <xdr:rowOff>0</xdr:rowOff>
    </xdr:from>
    <xdr:ext cx="66675" cy="16192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67475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409575</xdr:colOff>
      <xdr:row>60</xdr:row>
      <xdr:rowOff>0</xdr:rowOff>
    </xdr:from>
    <xdr:to>
      <xdr:col>5</xdr:col>
      <xdr:colOff>476250</xdr:colOff>
      <xdr:row>60</xdr:row>
      <xdr:rowOff>161925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877050" y="174402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60</xdr:row>
      <xdr:rowOff>0</xdr:rowOff>
    </xdr:from>
    <xdr:to>
      <xdr:col>5</xdr:col>
      <xdr:colOff>476250</xdr:colOff>
      <xdr:row>60</xdr:row>
      <xdr:rowOff>161925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6877050" y="174402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60</xdr:row>
      <xdr:rowOff>0</xdr:rowOff>
    </xdr:from>
    <xdr:to>
      <xdr:col>5</xdr:col>
      <xdr:colOff>476250</xdr:colOff>
      <xdr:row>60</xdr:row>
      <xdr:rowOff>161925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6877050" y="174402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6877050" y="174402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6877050" y="174402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877050" y="174402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8770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68770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68770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8770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8770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68770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68770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68770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68770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68770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8770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6877050" y="174402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88</xdr:row>
      <xdr:rowOff>0</xdr:rowOff>
    </xdr:from>
    <xdr:ext cx="66675" cy="161925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877050" y="20164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88</xdr:row>
      <xdr:rowOff>0</xdr:rowOff>
    </xdr:from>
    <xdr:ext cx="66675" cy="161925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877050" y="20164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88</xdr:row>
      <xdr:rowOff>0</xdr:rowOff>
    </xdr:from>
    <xdr:ext cx="66675" cy="161925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877050" y="20164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88</xdr:row>
      <xdr:rowOff>0</xdr:rowOff>
    </xdr:from>
    <xdr:ext cx="66675" cy="161925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67475" y="20164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88</xdr:row>
      <xdr:rowOff>0</xdr:rowOff>
    </xdr:from>
    <xdr:ext cx="66675" cy="161925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67475" y="20164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88</xdr:row>
      <xdr:rowOff>0</xdr:rowOff>
    </xdr:from>
    <xdr:ext cx="66675" cy="161925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67475" y="20164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409575</xdr:colOff>
      <xdr:row>122</xdr:row>
      <xdr:rowOff>0</xdr:rowOff>
    </xdr:from>
    <xdr:to>
      <xdr:col>5</xdr:col>
      <xdr:colOff>476250</xdr:colOff>
      <xdr:row>122</xdr:row>
      <xdr:rowOff>161925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6877050" y="27403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122</xdr:row>
      <xdr:rowOff>0</xdr:rowOff>
    </xdr:from>
    <xdr:to>
      <xdr:col>5</xdr:col>
      <xdr:colOff>476250</xdr:colOff>
      <xdr:row>122</xdr:row>
      <xdr:rowOff>161925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6877050" y="27403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122</xdr:row>
      <xdr:rowOff>0</xdr:rowOff>
    </xdr:from>
    <xdr:to>
      <xdr:col>5</xdr:col>
      <xdr:colOff>476250</xdr:colOff>
      <xdr:row>122</xdr:row>
      <xdr:rowOff>161925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877050" y="27403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409575</xdr:colOff>
      <xdr:row>122</xdr:row>
      <xdr:rowOff>0</xdr:rowOff>
    </xdr:from>
    <xdr:ext cx="66675" cy="161925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877050" y="27403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122</xdr:row>
      <xdr:rowOff>0</xdr:rowOff>
    </xdr:from>
    <xdr:ext cx="66675" cy="161925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6877050" y="27403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122</xdr:row>
      <xdr:rowOff>0</xdr:rowOff>
    </xdr:from>
    <xdr:ext cx="66675" cy="161925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6877050" y="274034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22</xdr:col>
      <xdr:colOff>409575</xdr:colOff>
      <xdr:row>30</xdr:row>
      <xdr:rowOff>0</xdr:rowOff>
    </xdr:from>
    <xdr:ext cx="66675" cy="161925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440275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22</xdr:col>
      <xdr:colOff>409575</xdr:colOff>
      <xdr:row>30</xdr:row>
      <xdr:rowOff>0</xdr:rowOff>
    </xdr:from>
    <xdr:ext cx="66675" cy="161925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440275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22</xdr:col>
      <xdr:colOff>409575</xdr:colOff>
      <xdr:row>30</xdr:row>
      <xdr:rowOff>0</xdr:rowOff>
    </xdr:from>
    <xdr:ext cx="66675" cy="161925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440275" y="61341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827768</xdr:colOff>
      <xdr:row>1</xdr:row>
      <xdr:rowOff>185964</xdr:rowOff>
    </xdr:from>
    <xdr:ext cx="4955267" cy="752475"/>
    <xdr:pic>
      <xdr:nvPicPr>
        <xdr:cNvPr id="136" name="Imagen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2411" y="526143"/>
          <a:ext cx="495526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66675" cy="161925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4791075" y="23622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66675" cy="161925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4791075" y="23622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10</xdr:row>
      <xdr:rowOff>0</xdr:rowOff>
    </xdr:from>
    <xdr:ext cx="66675" cy="161925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4791075" y="236220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104</xdr:row>
      <xdr:rowOff>0</xdr:rowOff>
    </xdr:from>
    <xdr:ext cx="66675" cy="161925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4791075" y="792289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104</xdr:row>
      <xdr:rowOff>0</xdr:rowOff>
    </xdr:from>
    <xdr:ext cx="66675" cy="161925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4791075" y="792289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104</xdr:row>
      <xdr:rowOff>0</xdr:rowOff>
    </xdr:from>
    <xdr:ext cx="66675" cy="161925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4791075" y="79228950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30</xdr:row>
      <xdr:rowOff>0</xdr:rowOff>
    </xdr:from>
    <xdr:ext cx="66675" cy="161925"/>
    <xdr:sp macro="" textlink="">
      <xdr:nvSpPr>
        <xdr:cNvPr id="143" name="Text Box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200650" y="20564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30</xdr:row>
      <xdr:rowOff>0</xdr:rowOff>
    </xdr:from>
    <xdr:ext cx="66675" cy="161925"/>
    <xdr:sp macro="" textlink="">
      <xdr:nvSpPr>
        <xdr:cNvPr id="144" name="Text 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200650" y="20564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30</xdr:row>
      <xdr:rowOff>0</xdr:rowOff>
    </xdr:from>
    <xdr:ext cx="66675" cy="161925"/>
    <xdr:sp macro="" textlink="">
      <xdr:nvSpPr>
        <xdr:cNvPr id="145" name="Text Box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200650" y="20564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30</xdr:row>
      <xdr:rowOff>0</xdr:rowOff>
    </xdr:from>
    <xdr:ext cx="66675" cy="161925"/>
    <xdr:sp macro="" textlink="">
      <xdr:nvSpPr>
        <xdr:cNvPr id="146" name="Text Box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791075" y="20564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30</xdr:row>
      <xdr:rowOff>0</xdr:rowOff>
    </xdr:from>
    <xdr:ext cx="66675" cy="161925"/>
    <xdr:sp macro="" textlink="">
      <xdr:nvSpPr>
        <xdr:cNvPr id="147" name="Text 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791075" y="20564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30</xdr:row>
      <xdr:rowOff>0</xdr:rowOff>
    </xdr:from>
    <xdr:ext cx="66675" cy="161925"/>
    <xdr:sp macro="" textlink="">
      <xdr:nvSpPr>
        <xdr:cNvPr id="148" name="Text Box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791075" y="205644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409575</xdr:colOff>
      <xdr:row>60</xdr:row>
      <xdr:rowOff>0</xdr:rowOff>
    </xdr:from>
    <xdr:to>
      <xdr:col>5</xdr:col>
      <xdr:colOff>476250</xdr:colOff>
      <xdr:row>60</xdr:row>
      <xdr:rowOff>161925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5200650" y="441483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60</xdr:row>
      <xdr:rowOff>0</xdr:rowOff>
    </xdr:from>
    <xdr:to>
      <xdr:col>5</xdr:col>
      <xdr:colOff>476250</xdr:colOff>
      <xdr:row>60</xdr:row>
      <xdr:rowOff>161925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5200650" y="441483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60</xdr:row>
      <xdr:rowOff>0</xdr:rowOff>
    </xdr:from>
    <xdr:to>
      <xdr:col>5</xdr:col>
      <xdr:colOff>476250</xdr:colOff>
      <xdr:row>60</xdr:row>
      <xdr:rowOff>161925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5200650" y="441483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5200650" y="441483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5200650" y="441483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5200650" y="4414837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5200650" y="441483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5200650" y="441483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5200650" y="441483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5200650" y="441483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5200650" y="441483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5200650" y="441483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5200650" y="441483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5200650" y="441483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5200650" y="441483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5200650" y="441483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5200650" y="441483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60</xdr:row>
      <xdr:rowOff>0</xdr:rowOff>
    </xdr:from>
    <xdr:ext cx="66675" cy="161925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5200650" y="44148375"/>
          <a:ext cx="66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409575</xdr:colOff>
      <xdr:row>88</xdr:row>
      <xdr:rowOff>0</xdr:rowOff>
    </xdr:from>
    <xdr:ext cx="66675" cy="161925"/>
    <xdr:sp macro="" textlink="">
      <xdr:nvSpPr>
        <xdr:cNvPr id="167" name="Text Box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200650" y="66798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88</xdr:row>
      <xdr:rowOff>0</xdr:rowOff>
    </xdr:from>
    <xdr:ext cx="66675" cy="161925"/>
    <xdr:sp macro="" textlink="">
      <xdr:nvSpPr>
        <xdr:cNvPr id="168" name="Text 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200650" y="66798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88</xdr:row>
      <xdr:rowOff>0</xdr:rowOff>
    </xdr:from>
    <xdr:ext cx="66675" cy="161925"/>
    <xdr:sp macro="" textlink="">
      <xdr:nvSpPr>
        <xdr:cNvPr id="169" name="Text Box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200650" y="66798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88</xdr:row>
      <xdr:rowOff>0</xdr:rowOff>
    </xdr:from>
    <xdr:ext cx="66675" cy="161925"/>
    <xdr:sp macro="" textlink="">
      <xdr:nvSpPr>
        <xdr:cNvPr id="170" name="Text Box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791075" y="66798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88</xdr:row>
      <xdr:rowOff>0</xdr:rowOff>
    </xdr:from>
    <xdr:ext cx="66675" cy="161925"/>
    <xdr:sp macro="" textlink="">
      <xdr:nvSpPr>
        <xdr:cNvPr id="171" name="Text Box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791075" y="66798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88</xdr:row>
      <xdr:rowOff>0</xdr:rowOff>
    </xdr:from>
    <xdr:ext cx="66675" cy="161925"/>
    <xdr:sp macro="" textlink="">
      <xdr:nvSpPr>
        <xdr:cNvPr id="172" name="Text Box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791075" y="667988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409575</xdr:colOff>
      <xdr:row>122</xdr:row>
      <xdr:rowOff>0</xdr:rowOff>
    </xdr:from>
    <xdr:to>
      <xdr:col>5</xdr:col>
      <xdr:colOff>476250</xdr:colOff>
      <xdr:row>122</xdr:row>
      <xdr:rowOff>161925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5200650" y="898493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122</xdr:row>
      <xdr:rowOff>0</xdr:rowOff>
    </xdr:from>
    <xdr:to>
      <xdr:col>5</xdr:col>
      <xdr:colOff>476250</xdr:colOff>
      <xdr:row>122</xdr:row>
      <xdr:rowOff>161925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5200650" y="898493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409575</xdr:colOff>
      <xdr:row>122</xdr:row>
      <xdr:rowOff>0</xdr:rowOff>
    </xdr:from>
    <xdr:to>
      <xdr:col>5</xdr:col>
      <xdr:colOff>476250</xdr:colOff>
      <xdr:row>122</xdr:row>
      <xdr:rowOff>161925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5200650" y="898493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409575</xdr:colOff>
      <xdr:row>122</xdr:row>
      <xdr:rowOff>0</xdr:rowOff>
    </xdr:from>
    <xdr:ext cx="66675" cy="161925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5200650" y="898493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122</xdr:row>
      <xdr:rowOff>0</xdr:rowOff>
    </xdr:from>
    <xdr:ext cx="66675" cy="161925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5200650" y="898493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409575</xdr:colOff>
      <xdr:row>122</xdr:row>
      <xdr:rowOff>0</xdr:rowOff>
    </xdr:from>
    <xdr:ext cx="66675" cy="161925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5200650" y="89849325"/>
          <a:ext cx="666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52"/>
  <sheetViews>
    <sheetView tabSelected="1" topLeftCell="F1" zoomScale="55" zoomScaleNormal="55" zoomScaleSheetLayoutView="85" workbookViewId="0">
      <selection activeCell="AS12" sqref="AS12"/>
    </sheetView>
  </sheetViews>
  <sheetFormatPr baseColWidth="10" defaultColWidth="11.42578125" defaultRowHeight="32.25" customHeight="1"/>
  <cols>
    <col min="1" max="1" width="23.28515625" style="13" hidden="1" customWidth="1"/>
    <col min="2" max="2" width="16.28515625" style="13" hidden="1" customWidth="1"/>
    <col min="3" max="3" width="45.85546875" style="13" hidden="1" customWidth="1"/>
    <col min="4" max="4" width="61.140625" style="13" hidden="1" customWidth="1"/>
    <col min="5" max="5" width="71.85546875" style="13" hidden="1" customWidth="1"/>
    <col min="6" max="6" width="84.28515625" style="16" customWidth="1"/>
    <col min="7" max="7" width="12.140625" style="16" customWidth="1"/>
    <col min="8" max="8" width="50.85546875" style="13" hidden="1" customWidth="1"/>
    <col min="9" max="9" width="27.28515625" style="13" hidden="1" customWidth="1"/>
    <col min="10" max="10" width="33.85546875" style="13" hidden="1" customWidth="1"/>
    <col min="11" max="11" width="42" style="13" customWidth="1"/>
    <col min="12" max="12" width="52.42578125" style="13" customWidth="1"/>
    <col min="13" max="13" width="51.5703125" style="13" customWidth="1"/>
    <col min="14" max="14" width="14.5703125" style="13" customWidth="1"/>
    <col min="15" max="15" width="12.28515625" style="13" customWidth="1"/>
    <col min="16" max="16" width="15.7109375" style="13" customWidth="1"/>
    <col min="17" max="17" width="20" style="13" customWidth="1"/>
    <col min="18" max="18" width="22.85546875" style="13" customWidth="1"/>
    <col min="19" max="19" width="25.5703125" style="13" customWidth="1"/>
    <col min="20" max="20" width="13.42578125" style="13" hidden="1" customWidth="1"/>
    <col min="21" max="21" width="19" style="13" hidden="1" customWidth="1"/>
    <col min="22" max="22" width="18.28515625" style="13" hidden="1" customWidth="1"/>
    <col min="23" max="23" width="82.42578125" style="14" hidden="1" customWidth="1"/>
    <col min="24" max="24" width="49.28515625" style="14" hidden="1" customWidth="1"/>
    <col min="25" max="25" width="80.140625" style="14" hidden="1" customWidth="1"/>
    <col min="26" max="26" width="12" style="14" hidden="1" customWidth="1"/>
    <col min="27" max="27" width="38.140625" style="14" hidden="1" customWidth="1"/>
    <col min="28" max="28" width="14.5703125" style="14" hidden="1" customWidth="1"/>
    <col min="29" max="29" width="13.42578125" style="14" hidden="1" customWidth="1"/>
    <col min="30" max="31" width="15.42578125" style="14" hidden="1" customWidth="1"/>
    <col min="32" max="32" width="13.42578125" style="14" hidden="1" customWidth="1"/>
    <col min="33" max="33" width="14.5703125" style="14" hidden="1" customWidth="1"/>
    <col min="34" max="34" width="13.42578125" style="14" hidden="1" customWidth="1"/>
    <col min="35" max="36" width="15.42578125" style="14" hidden="1" customWidth="1"/>
    <col min="37" max="37" width="13.42578125" style="14" hidden="1" customWidth="1"/>
    <col min="38" max="16384" width="11.42578125" style="13"/>
  </cols>
  <sheetData>
    <row r="1" spans="1:37" ht="26.25" customHeight="1">
      <c r="A1" s="426" t="s">
        <v>297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110"/>
      <c r="AH1" s="13"/>
      <c r="AI1" s="13"/>
      <c r="AJ1" s="13"/>
      <c r="AK1" s="13"/>
    </row>
    <row r="2" spans="1:37" ht="24.75" customHeight="1">
      <c r="A2" s="428"/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  <c r="W2" s="429"/>
      <c r="X2" s="429"/>
      <c r="Y2" s="429"/>
      <c r="Z2" s="429"/>
      <c r="AA2" s="429"/>
      <c r="AB2" s="429"/>
      <c r="AC2" s="429"/>
      <c r="AD2" s="429"/>
      <c r="AE2" s="429"/>
      <c r="AF2" s="429"/>
      <c r="AG2" s="110"/>
      <c r="AH2" s="13"/>
      <c r="AI2" s="13"/>
      <c r="AJ2" s="13"/>
      <c r="AK2" s="13"/>
    </row>
    <row r="3" spans="1:37" ht="9.75" customHeight="1">
      <c r="A3" s="428"/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  <c r="AG3" s="110"/>
      <c r="AH3" s="13"/>
      <c r="AI3" s="13"/>
      <c r="AJ3" s="13"/>
      <c r="AK3" s="13"/>
    </row>
    <row r="4" spans="1:37" ht="9.75" customHeight="1">
      <c r="A4" s="428"/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429"/>
      <c r="T4" s="429"/>
      <c r="U4" s="429"/>
      <c r="V4" s="429"/>
      <c r="W4" s="429"/>
      <c r="X4" s="429"/>
      <c r="Y4" s="429"/>
      <c r="Z4" s="429"/>
      <c r="AA4" s="429"/>
      <c r="AB4" s="429"/>
      <c r="AC4" s="429"/>
      <c r="AD4" s="429"/>
      <c r="AE4" s="429"/>
      <c r="AF4" s="429"/>
      <c r="AG4" s="110"/>
      <c r="AH4" s="13"/>
      <c r="AI4" s="13"/>
      <c r="AJ4" s="13"/>
      <c r="AK4" s="13"/>
    </row>
    <row r="5" spans="1:37" ht="12.75" customHeight="1">
      <c r="A5" s="428"/>
      <c r="B5" s="429"/>
      <c r="C5" s="429"/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29"/>
      <c r="V5" s="429"/>
      <c r="W5" s="429"/>
      <c r="X5" s="429"/>
      <c r="Y5" s="429"/>
      <c r="Z5" s="429"/>
      <c r="AA5" s="429"/>
      <c r="AB5" s="429"/>
      <c r="AC5" s="429"/>
      <c r="AD5" s="429"/>
      <c r="AE5" s="429"/>
      <c r="AF5" s="429"/>
      <c r="AG5" s="110"/>
      <c r="AH5" s="13"/>
      <c r="AI5" s="13"/>
      <c r="AJ5" s="13"/>
      <c r="AK5" s="13"/>
    </row>
    <row r="6" spans="1:37" ht="35.25" customHeight="1" thickBot="1">
      <c r="A6" s="428"/>
      <c r="B6" s="429"/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183" t="s">
        <v>570</v>
      </c>
      <c r="AH6" s="183"/>
      <c r="AI6" s="183"/>
      <c r="AJ6" s="183"/>
      <c r="AK6" s="183"/>
    </row>
    <row r="7" spans="1:37" s="1" customFormat="1" ht="13.5" customHeight="1">
      <c r="A7" s="437" t="s">
        <v>41</v>
      </c>
      <c r="B7" s="438"/>
      <c r="C7" s="439" t="s">
        <v>36</v>
      </c>
      <c r="D7" s="439"/>
      <c r="E7" s="419" t="s">
        <v>111</v>
      </c>
      <c r="F7" s="419" t="s">
        <v>8</v>
      </c>
      <c r="G7" s="420" t="s">
        <v>195</v>
      </c>
      <c r="H7" s="419" t="s">
        <v>15</v>
      </c>
      <c r="I7" s="420" t="s">
        <v>336</v>
      </c>
      <c r="J7" s="11" t="s">
        <v>7</v>
      </c>
      <c r="K7" s="419" t="s">
        <v>298</v>
      </c>
      <c r="L7" s="420" t="s">
        <v>507</v>
      </c>
      <c r="M7" s="420" t="s">
        <v>569</v>
      </c>
      <c r="N7" s="419" t="s">
        <v>6</v>
      </c>
      <c r="O7" s="419"/>
      <c r="P7" s="419"/>
      <c r="Q7" s="419"/>
      <c r="R7" s="419"/>
      <c r="S7" s="419"/>
      <c r="T7" s="419"/>
      <c r="U7" s="419"/>
      <c r="V7" s="430" t="s">
        <v>56</v>
      </c>
      <c r="W7" s="432" t="s">
        <v>69</v>
      </c>
      <c r="X7" s="433" t="s">
        <v>336</v>
      </c>
      <c r="Y7" s="433" t="s">
        <v>337</v>
      </c>
      <c r="Z7" s="433" t="s">
        <v>195</v>
      </c>
      <c r="AA7" s="432" t="s">
        <v>299</v>
      </c>
      <c r="AB7" s="220" t="s">
        <v>199</v>
      </c>
      <c r="AC7" s="181" t="s">
        <v>195</v>
      </c>
      <c r="AD7" s="181" t="s">
        <v>235</v>
      </c>
      <c r="AE7" s="181" t="s">
        <v>565</v>
      </c>
      <c r="AF7" s="181" t="s">
        <v>234</v>
      </c>
      <c r="AG7" s="220" t="s">
        <v>199</v>
      </c>
      <c r="AH7" s="181" t="s">
        <v>195</v>
      </c>
      <c r="AI7" s="181" t="s">
        <v>235</v>
      </c>
      <c r="AJ7" s="181" t="s">
        <v>565</v>
      </c>
      <c r="AK7" s="181" t="s">
        <v>234</v>
      </c>
    </row>
    <row r="8" spans="1:37" s="1" customFormat="1" ht="13.5" customHeight="1">
      <c r="A8" s="437"/>
      <c r="B8" s="438"/>
      <c r="C8" s="439"/>
      <c r="D8" s="439"/>
      <c r="E8" s="419"/>
      <c r="F8" s="419"/>
      <c r="G8" s="436"/>
      <c r="H8" s="419"/>
      <c r="I8" s="436"/>
      <c r="J8" s="440" t="s">
        <v>5</v>
      </c>
      <c r="K8" s="419"/>
      <c r="L8" s="436"/>
      <c r="M8" s="436"/>
      <c r="N8" s="423" t="s">
        <v>4</v>
      </c>
      <c r="O8" s="424"/>
      <c r="P8" s="425"/>
      <c r="Q8" s="423" t="s">
        <v>3</v>
      </c>
      <c r="R8" s="424"/>
      <c r="S8" s="425"/>
      <c r="T8" s="11" t="s">
        <v>2</v>
      </c>
      <c r="U8" s="11" t="s">
        <v>1</v>
      </c>
      <c r="V8" s="431"/>
      <c r="W8" s="432"/>
      <c r="X8" s="434"/>
      <c r="Y8" s="434"/>
      <c r="Z8" s="434"/>
      <c r="AA8" s="432"/>
      <c r="AB8" s="221"/>
      <c r="AC8" s="182"/>
      <c r="AD8" s="182"/>
      <c r="AE8" s="182"/>
      <c r="AF8" s="182"/>
      <c r="AG8" s="221"/>
      <c r="AH8" s="182"/>
      <c r="AI8" s="182"/>
      <c r="AJ8" s="182"/>
      <c r="AK8" s="182"/>
    </row>
    <row r="9" spans="1:37" s="1" customFormat="1" ht="15" customHeight="1">
      <c r="A9" s="437"/>
      <c r="B9" s="438"/>
      <c r="C9" s="439"/>
      <c r="D9" s="439"/>
      <c r="E9" s="419"/>
      <c r="F9" s="419"/>
      <c r="G9" s="436"/>
      <c r="H9" s="419"/>
      <c r="I9" s="436"/>
      <c r="J9" s="440"/>
      <c r="K9" s="419"/>
      <c r="L9" s="436"/>
      <c r="M9" s="436"/>
      <c r="N9" s="419" t="s">
        <v>0</v>
      </c>
      <c r="O9" s="420" t="s">
        <v>503</v>
      </c>
      <c r="P9" s="420" t="s">
        <v>504</v>
      </c>
      <c r="Q9" s="419" t="s">
        <v>0</v>
      </c>
      <c r="R9" s="420" t="s">
        <v>503</v>
      </c>
      <c r="S9" s="420" t="s">
        <v>504</v>
      </c>
      <c r="T9" s="419" t="s">
        <v>0</v>
      </c>
      <c r="U9" s="419" t="s">
        <v>0</v>
      </c>
      <c r="V9" s="431"/>
      <c r="W9" s="432"/>
      <c r="X9" s="434"/>
      <c r="Y9" s="434"/>
      <c r="Z9" s="434"/>
      <c r="AA9" s="432"/>
      <c r="AB9" s="221"/>
      <c r="AC9" s="182"/>
      <c r="AD9" s="182"/>
      <c r="AE9" s="182"/>
      <c r="AF9" s="182"/>
      <c r="AG9" s="221"/>
      <c r="AH9" s="182"/>
      <c r="AI9" s="182"/>
      <c r="AJ9" s="182"/>
      <c r="AK9" s="182"/>
    </row>
    <row r="10" spans="1:37" s="1" customFormat="1" ht="25.5" customHeight="1" thickBot="1">
      <c r="A10" s="19" t="s">
        <v>39</v>
      </c>
      <c r="B10" s="35" t="s">
        <v>28</v>
      </c>
      <c r="C10" s="36" t="s">
        <v>37</v>
      </c>
      <c r="D10" s="36" t="s">
        <v>38</v>
      </c>
      <c r="E10" s="420"/>
      <c r="F10" s="420"/>
      <c r="G10" s="436"/>
      <c r="H10" s="420"/>
      <c r="I10" s="422"/>
      <c r="J10" s="441"/>
      <c r="K10" s="420"/>
      <c r="L10" s="422"/>
      <c r="M10" s="422"/>
      <c r="N10" s="420"/>
      <c r="O10" s="422"/>
      <c r="P10" s="422"/>
      <c r="Q10" s="420"/>
      <c r="R10" s="422"/>
      <c r="S10" s="422"/>
      <c r="T10" s="420"/>
      <c r="U10" s="420"/>
      <c r="V10" s="431"/>
      <c r="W10" s="432"/>
      <c r="X10" s="435"/>
      <c r="Y10" s="435"/>
      <c r="Z10" s="435"/>
      <c r="AA10" s="432"/>
      <c r="AB10" s="222"/>
      <c r="AC10" s="182"/>
      <c r="AD10" s="182"/>
      <c r="AE10" s="182"/>
      <c r="AF10" s="182"/>
      <c r="AG10" s="222"/>
      <c r="AH10" s="182"/>
      <c r="AI10" s="182"/>
      <c r="AJ10" s="182"/>
      <c r="AK10" s="182"/>
    </row>
    <row r="11" spans="1:37" ht="93.75" customHeight="1">
      <c r="A11" s="309" t="s">
        <v>40</v>
      </c>
      <c r="B11" s="217" t="s">
        <v>43</v>
      </c>
      <c r="C11" s="217" t="s">
        <v>46</v>
      </c>
      <c r="D11" s="217" t="s">
        <v>45</v>
      </c>
      <c r="E11" s="184" t="s">
        <v>59</v>
      </c>
      <c r="F11" s="306" t="s">
        <v>289</v>
      </c>
      <c r="G11" s="302">
        <v>0.03</v>
      </c>
      <c r="H11" s="228" t="s">
        <v>189</v>
      </c>
      <c r="I11" s="155" t="s">
        <v>350</v>
      </c>
      <c r="J11" s="325" t="s">
        <v>47</v>
      </c>
      <c r="K11" s="228" t="s">
        <v>357</v>
      </c>
      <c r="L11" s="353" t="s">
        <v>525</v>
      </c>
      <c r="M11" s="353" t="s">
        <v>589</v>
      </c>
      <c r="N11" s="228">
        <v>5</v>
      </c>
      <c r="O11" s="155">
        <v>5</v>
      </c>
      <c r="P11" s="350">
        <f>O11/N11</f>
        <v>1</v>
      </c>
      <c r="Q11" s="228">
        <v>2</v>
      </c>
      <c r="R11" s="510">
        <v>2</v>
      </c>
      <c r="S11" s="478">
        <v>1</v>
      </c>
      <c r="T11" s="228"/>
      <c r="U11" s="228"/>
      <c r="V11" s="228" t="s">
        <v>58</v>
      </c>
      <c r="W11" s="20" t="s">
        <v>172</v>
      </c>
      <c r="X11" s="20" t="s">
        <v>351</v>
      </c>
      <c r="Y11" s="20" t="s">
        <v>354</v>
      </c>
      <c r="Z11" s="44">
        <v>1.02</v>
      </c>
      <c r="AA11" s="306" t="s">
        <v>300</v>
      </c>
      <c r="AB11" s="2" t="s">
        <v>200</v>
      </c>
      <c r="AC11" s="17">
        <f>1/COUNTIF($AB$11:$AB$128,AB11)</f>
        <v>0.33333333333333331</v>
      </c>
      <c r="AD11" s="18">
        <v>1</v>
      </c>
      <c r="AE11" s="111">
        <v>1</v>
      </c>
      <c r="AF11" s="18">
        <f>AC11*AD11</f>
        <v>0.33333333333333331</v>
      </c>
      <c r="AG11" s="2" t="s">
        <v>200</v>
      </c>
      <c r="AH11" s="17">
        <f>1/COUNTIF($AG$11:$AG$128,AG11)</f>
        <v>0.33333333333333331</v>
      </c>
      <c r="AI11" s="18">
        <v>1</v>
      </c>
      <c r="AJ11" s="111">
        <v>1</v>
      </c>
      <c r="AK11" s="18">
        <f>AH11*AI11</f>
        <v>0.33333333333333331</v>
      </c>
    </row>
    <row r="12" spans="1:37" ht="45.75" customHeight="1">
      <c r="A12" s="218"/>
      <c r="B12" s="218"/>
      <c r="C12" s="218"/>
      <c r="D12" s="218"/>
      <c r="E12" s="185"/>
      <c r="F12" s="306"/>
      <c r="G12" s="348"/>
      <c r="H12" s="228"/>
      <c r="I12" s="241"/>
      <c r="J12" s="380"/>
      <c r="K12" s="228"/>
      <c r="L12" s="228"/>
      <c r="M12" s="228"/>
      <c r="N12" s="228"/>
      <c r="O12" s="241"/>
      <c r="P12" s="351"/>
      <c r="Q12" s="228"/>
      <c r="R12" s="511"/>
      <c r="S12" s="513"/>
      <c r="T12" s="228"/>
      <c r="U12" s="228"/>
      <c r="V12" s="228"/>
      <c r="W12" s="20" t="s">
        <v>173</v>
      </c>
      <c r="X12" s="20" t="s">
        <v>352</v>
      </c>
      <c r="Y12" s="20" t="s">
        <v>355</v>
      </c>
      <c r="Z12" s="44">
        <f>33*G11</f>
        <v>0.99</v>
      </c>
      <c r="AA12" s="306"/>
      <c r="AB12" s="3" t="s">
        <v>200</v>
      </c>
      <c r="AC12" s="17">
        <f t="shared" ref="AC12:AC32" si="0">1/COUNTIF($AB$11:$AB$128,AB12)</f>
        <v>0.33333333333333331</v>
      </c>
      <c r="AD12" s="18">
        <v>1</v>
      </c>
      <c r="AE12" s="111">
        <v>1</v>
      </c>
      <c r="AF12" s="18">
        <f t="shared" ref="AF12:AF31" si="1">AC12*AD12</f>
        <v>0.33333333333333331</v>
      </c>
      <c r="AG12" s="3" t="s">
        <v>200</v>
      </c>
      <c r="AH12" s="17">
        <f t="shared" ref="AH12:AH75" si="2">1/COUNTIF($AG$11:$AG$128,AG12)</f>
        <v>0.33333333333333331</v>
      </c>
      <c r="AI12" s="18">
        <v>1</v>
      </c>
      <c r="AJ12" s="111">
        <v>1</v>
      </c>
      <c r="AK12" s="18">
        <f t="shared" ref="AK12:AK16" si="3">AH12*AI12</f>
        <v>0.33333333333333331</v>
      </c>
    </row>
    <row r="13" spans="1:37" ht="60.75" customHeight="1">
      <c r="A13" s="218"/>
      <c r="B13" s="218"/>
      <c r="C13" s="218"/>
      <c r="D13" s="218"/>
      <c r="E13" s="185"/>
      <c r="F13" s="306"/>
      <c r="G13" s="348"/>
      <c r="H13" s="228"/>
      <c r="I13" s="156"/>
      <c r="J13" s="326"/>
      <c r="K13" s="228"/>
      <c r="L13" s="228"/>
      <c r="M13" s="228"/>
      <c r="N13" s="228"/>
      <c r="O13" s="156"/>
      <c r="P13" s="352"/>
      <c r="Q13" s="228"/>
      <c r="R13" s="512"/>
      <c r="S13" s="514"/>
      <c r="T13" s="228"/>
      <c r="U13" s="228"/>
      <c r="V13" s="228"/>
      <c r="W13" s="20" t="s">
        <v>174</v>
      </c>
      <c r="X13" s="20" t="s">
        <v>353</v>
      </c>
      <c r="Y13" s="20" t="s">
        <v>356</v>
      </c>
      <c r="Z13" s="44">
        <f>33*G11</f>
        <v>0.99</v>
      </c>
      <c r="AA13" s="306"/>
      <c r="AB13" s="3" t="s">
        <v>200</v>
      </c>
      <c r="AC13" s="17">
        <f t="shared" si="0"/>
        <v>0.33333333333333331</v>
      </c>
      <c r="AD13" s="18">
        <v>1</v>
      </c>
      <c r="AE13" s="111">
        <v>1</v>
      </c>
      <c r="AF13" s="18">
        <f t="shared" si="1"/>
        <v>0.33333333333333331</v>
      </c>
      <c r="AG13" s="3" t="s">
        <v>200</v>
      </c>
      <c r="AH13" s="17">
        <f t="shared" si="2"/>
        <v>0.33333333333333331</v>
      </c>
      <c r="AI13" s="18">
        <v>1</v>
      </c>
      <c r="AJ13" s="111">
        <v>1</v>
      </c>
      <c r="AK13" s="18">
        <f t="shared" si="3"/>
        <v>0.33333333333333331</v>
      </c>
    </row>
    <row r="14" spans="1:37" ht="18.75" customHeight="1">
      <c r="A14" s="218"/>
      <c r="B14" s="218"/>
      <c r="C14" s="218"/>
      <c r="D14" s="218"/>
      <c r="E14" s="185"/>
      <c r="F14" s="279" t="s">
        <v>177</v>
      </c>
      <c r="G14" s="278">
        <v>0.01</v>
      </c>
      <c r="H14" s="229" t="s">
        <v>190</v>
      </c>
      <c r="I14" s="157" t="s">
        <v>358</v>
      </c>
      <c r="J14" s="291" t="s">
        <v>121</v>
      </c>
      <c r="K14" s="157" t="s">
        <v>487</v>
      </c>
      <c r="L14" s="171" t="s">
        <v>526</v>
      </c>
      <c r="M14" s="171" t="s">
        <v>590</v>
      </c>
      <c r="N14" s="180">
        <v>0.15</v>
      </c>
      <c r="O14" s="168">
        <f>(57344/183776)</f>
        <v>0.31203203900400489</v>
      </c>
      <c r="P14" s="168">
        <v>1</v>
      </c>
      <c r="Q14" s="180">
        <v>0.15</v>
      </c>
      <c r="R14" s="168">
        <f>(21408+57344)/183776</f>
        <v>0.42852167856520984</v>
      </c>
      <c r="S14" s="515">
        <v>1</v>
      </c>
      <c r="T14" s="180">
        <v>0.15</v>
      </c>
      <c r="U14" s="180">
        <v>0.15</v>
      </c>
      <c r="V14" s="180" t="s">
        <v>62</v>
      </c>
      <c r="W14" s="20" t="s">
        <v>274</v>
      </c>
      <c r="X14" s="20" t="s">
        <v>361</v>
      </c>
      <c r="Y14" s="20"/>
      <c r="Z14" s="44">
        <f>34*1%</f>
        <v>0.34</v>
      </c>
      <c r="AA14" s="306" t="s">
        <v>301</v>
      </c>
      <c r="AB14" s="3" t="s">
        <v>201</v>
      </c>
      <c r="AC14" s="17">
        <f t="shared" si="0"/>
        <v>0.33333333333333331</v>
      </c>
      <c r="AD14" s="18">
        <v>1</v>
      </c>
      <c r="AE14" s="111">
        <v>1</v>
      </c>
      <c r="AF14" s="18">
        <f t="shared" si="1"/>
        <v>0.33333333333333331</v>
      </c>
      <c r="AG14" s="3" t="s">
        <v>201</v>
      </c>
      <c r="AH14" s="17">
        <f t="shared" si="2"/>
        <v>0.33333333333333331</v>
      </c>
      <c r="AI14" s="18">
        <v>1</v>
      </c>
      <c r="AJ14" s="111">
        <v>1</v>
      </c>
      <c r="AK14" s="18">
        <f t="shared" si="3"/>
        <v>0.33333333333333331</v>
      </c>
    </row>
    <row r="15" spans="1:37" ht="42" customHeight="1">
      <c r="A15" s="218"/>
      <c r="B15" s="218"/>
      <c r="C15" s="218"/>
      <c r="D15" s="218"/>
      <c r="E15" s="185"/>
      <c r="F15" s="279"/>
      <c r="G15" s="349"/>
      <c r="H15" s="229"/>
      <c r="I15" s="158"/>
      <c r="J15" s="292"/>
      <c r="K15" s="158"/>
      <c r="L15" s="172"/>
      <c r="M15" s="172"/>
      <c r="N15" s="180"/>
      <c r="O15" s="169"/>
      <c r="P15" s="169"/>
      <c r="Q15" s="180"/>
      <c r="R15" s="169"/>
      <c r="S15" s="516"/>
      <c r="T15" s="180"/>
      <c r="U15" s="180"/>
      <c r="V15" s="180"/>
      <c r="W15" s="21" t="s">
        <v>175</v>
      </c>
      <c r="X15" s="20" t="s">
        <v>361</v>
      </c>
      <c r="Y15" s="21"/>
      <c r="Z15" s="44">
        <f>33*G14</f>
        <v>0.33</v>
      </c>
      <c r="AA15" s="421"/>
      <c r="AB15" s="4" t="s">
        <v>201</v>
      </c>
      <c r="AC15" s="17">
        <f t="shared" si="0"/>
        <v>0.33333333333333331</v>
      </c>
      <c r="AD15" s="18">
        <v>1</v>
      </c>
      <c r="AE15" s="111">
        <v>1</v>
      </c>
      <c r="AF15" s="18">
        <f t="shared" si="1"/>
        <v>0.33333333333333331</v>
      </c>
      <c r="AG15" s="4" t="s">
        <v>201</v>
      </c>
      <c r="AH15" s="17">
        <f t="shared" si="2"/>
        <v>0.33333333333333331</v>
      </c>
      <c r="AI15" s="18">
        <v>1</v>
      </c>
      <c r="AJ15" s="111">
        <v>1</v>
      </c>
      <c r="AK15" s="18">
        <f t="shared" si="3"/>
        <v>0.33333333333333331</v>
      </c>
    </row>
    <row r="16" spans="1:37" ht="77.25" customHeight="1">
      <c r="A16" s="218"/>
      <c r="B16" s="218"/>
      <c r="C16" s="218"/>
      <c r="D16" s="218"/>
      <c r="E16" s="185"/>
      <c r="F16" s="279"/>
      <c r="G16" s="349"/>
      <c r="H16" s="229"/>
      <c r="I16" s="159"/>
      <c r="J16" s="293"/>
      <c r="K16" s="159"/>
      <c r="L16" s="173"/>
      <c r="M16" s="173"/>
      <c r="N16" s="180"/>
      <c r="O16" s="170"/>
      <c r="P16" s="170"/>
      <c r="Q16" s="180"/>
      <c r="R16" s="170"/>
      <c r="S16" s="517"/>
      <c r="T16" s="180"/>
      <c r="U16" s="180"/>
      <c r="V16" s="180"/>
      <c r="W16" s="20" t="s">
        <v>176</v>
      </c>
      <c r="X16" s="20" t="s">
        <v>361</v>
      </c>
      <c r="Y16" s="20"/>
      <c r="Z16" s="44">
        <f>33*1%</f>
        <v>0.33</v>
      </c>
      <c r="AA16" s="421"/>
      <c r="AB16" s="3" t="s">
        <v>201</v>
      </c>
      <c r="AC16" s="17">
        <f t="shared" si="0"/>
        <v>0.33333333333333331</v>
      </c>
      <c r="AD16" s="18">
        <v>1</v>
      </c>
      <c r="AE16" s="111">
        <v>1</v>
      </c>
      <c r="AF16" s="18">
        <f t="shared" si="1"/>
        <v>0.33333333333333331</v>
      </c>
      <c r="AG16" s="3" t="s">
        <v>201</v>
      </c>
      <c r="AH16" s="17">
        <f t="shared" si="2"/>
        <v>0.33333333333333331</v>
      </c>
      <c r="AI16" s="18">
        <v>1</v>
      </c>
      <c r="AJ16" s="111">
        <v>1</v>
      </c>
      <c r="AK16" s="18">
        <f t="shared" si="3"/>
        <v>0.33333333333333331</v>
      </c>
    </row>
    <row r="17" spans="1:37" ht="75" customHeight="1">
      <c r="A17" s="218"/>
      <c r="B17" s="218"/>
      <c r="C17" s="218"/>
      <c r="D17" s="218"/>
      <c r="E17" s="185"/>
      <c r="F17" s="195" t="s">
        <v>290</v>
      </c>
      <c r="G17" s="303">
        <v>0.03</v>
      </c>
      <c r="H17" s="155" t="s">
        <v>553</v>
      </c>
      <c r="I17" s="155" t="s">
        <v>362</v>
      </c>
      <c r="J17" s="82" t="s">
        <v>505</v>
      </c>
      <c r="K17" s="83" t="s">
        <v>488</v>
      </c>
      <c r="L17" s="99" t="s">
        <v>554</v>
      </c>
      <c r="M17" s="99" t="s">
        <v>591</v>
      </c>
      <c r="N17" s="80">
        <v>0.56000000000000005</v>
      </c>
      <c r="O17" s="107">
        <v>0.73750774953502785</v>
      </c>
      <c r="P17" s="80">
        <v>1</v>
      </c>
      <c r="Q17" s="146">
        <v>0.68</v>
      </c>
      <c r="R17" s="134">
        <f>4629/5754</f>
        <v>0.80448383733055262</v>
      </c>
      <c r="S17" s="132">
        <v>1</v>
      </c>
      <c r="T17" s="180">
        <v>0.12</v>
      </c>
      <c r="U17" s="180">
        <v>0.2</v>
      </c>
      <c r="V17" s="180" t="s">
        <v>62</v>
      </c>
      <c r="W17" s="155" t="s">
        <v>70</v>
      </c>
      <c r="X17" s="155" t="s">
        <v>360</v>
      </c>
      <c r="Y17" s="155"/>
      <c r="Z17" s="155">
        <f>34*G17</f>
        <v>1.02</v>
      </c>
      <c r="AA17" s="306" t="s">
        <v>300</v>
      </c>
      <c r="AB17" s="3" t="s">
        <v>202</v>
      </c>
      <c r="AC17" s="17">
        <f t="shared" si="0"/>
        <v>0.1</v>
      </c>
      <c r="AD17" s="18">
        <v>1</v>
      </c>
      <c r="AE17" s="111">
        <v>1</v>
      </c>
      <c r="AF17" s="18">
        <f>AC17*AD17</f>
        <v>0.1</v>
      </c>
      <c r="AG17" s="3" t="s">
        <v>202</v>
      </c>
      <c r="AH17" s="17">
        <f t="shared" si="2"/>
        <v>0.1</v>
      </c>
      <c r="AI17" s="18">
        <v>1</v>
      </c>
      <c r="AJ17" s="111">
        <v>1</v>
      </c>
      <c r="AK17" s="18">
        <f>AH17*AI17</f>
        <v>0.1</v>
      </c>
    </row>
    <row r="18" spans="1:37" ht="86.25" customHeight="1">
      <c r="A18" s="218"/>
      <c r="B18" s="218"/>
      <c r="C18" s="218"/>
      <c r="D18" s="218"/>
      <c r="E18" s="185"/>
      <c r="F18" s="196"/>
      <c r="G18" s="304"/>
      <c r="H18" s="156"/>
      <c r="I18" s="156"/>
      <c r="J18" s="83" t="s">
        <v>506</v>
      </c>
      <c r="K18" s="83" t="s">
        <v>359</v>
      </c>
      <c r="L18" s="24" t="s">
        <v>527</v>
      </c>
      <c r="M18" s="24" t="s">
        <v>592</v>
      </c>
      <c r="N18" s="80">
        <v>0.4</v>
      </c>
      <c r="O18" s="98">
        <f>7783/14769</f>
        <v>0.52698219243009004</v>
      </c>
      <c r="P18" s="80">
        <v>1</v>
      </c>
      <c r="Q18" s="131">
        <v>0.44</v>
      </c>
      <c r="R18" s="134">
        <f>8205/14768</f>
        <v>0.5555931744312026</v>
      </c>
      <c r="S18" s="132">
        <v>1</v>
      </c>
      <c r="T18" s="180"/>
      <c r="U18" s="180"/>
      <c r="V18" s="180"/>
      <c r="W18" s="241"/>
      <c r="X18" s="241"/>
      <c r="Y18" s="241"/>
      <c r="Z18" s="241"/>
      <c r="AA18" s="306"/>
      <c r="AB18" s="3" t="s">
        <v>202</v>
      </c>
      <c r="AC18" s="17">
        <f t="shared" si="0"/>
        <v>0.1</v>
      </c>
      <c r="AD18" s="18">
        <v>1</v>
      </c>
      <c r="AE18" s="111">
        <v>1</v>
      </c>
      <c r="AF18" s="18">
        <f t="shared" ref="AF18:AF30" si="4">AC18*AD18</f>
        <v>0.1</v>
      </c>
      <c r="AG18" s="3" t="s">
        <v>202</v>
      </c>
      <c r="AH18" s="17">
        <f t="shared" si="2"/>
        <v>0.1</v>
      </c>
      <c r="AI18" s="18">
        <v>1</v>
      </c>
      <c r="AJ18" s="111">
        <v>1</v>
      </c>
      <c r="AK18" s="18">
        <f t="shared" ref="AK18:AK82" si="5">AH18*AI18</f>
        <v>0.1</v>
      </c>
    </row>
    <row r="19" spans="1:37" ht="102" customHeight="1">
      <c r="A19" s="218"/>
      <c r="B19" s="218"/>
      <c r="C19" s="218"/>
      <c r="D19" s="218"/>
      <c r="E19" s="185"/>
      <c r="F19" s="196"/>
      <c r="G19" s="304"/>
      <c r="H19" s="155" t="s">
        <v>278</v>
      </c>
      <c r="I19" s="155" t="s">
        <v>362</v>
      </c>
      <c r="J19" s="82" t="s">
        <v>505</v>
      </c>
      <c r="K19" s="83" t="s">
        <v>488</v>
      </c>
      <c r="L19" s="100" t="s">
        <v>555</v>
      </c>
      <c r="M19" s="100" t="s">
        <v>593</v>
      </c>
      <c r="N19" s="80">
        <v>0.56000000000000005</v>
      </c>
      <c r="O19" s="107">
        <v>0.9269178393100318</v>
      </c>
      <c r="P19" s="80">
        <v>1</v>
      </c>
      <c r="Q19" s="131">
        <v>0.68</v>
      </c>
      <c r="R19" s="134">
        <f>3723/4581</f>
        <v>0.81270464963981659</v>
      </c>
      <c r="S19" s="132">
        <v>1</v>
      </c>
      <c r="T19" s="180"/>
      <c r="U19" s="180"/>
      <c r="V19" s="180"/>
      <c r="W19" s="241"/>
      <c r="X19" s="241"/>
      <c r="Y19" s="241"/>
      <c r="Z19" s="241"/>
      <c r="AA19" s="306"/>
      <c r="AB19" s="3" t="s">
        <v>202</v>
      </c>
      <c r="AC19" s="17">
        <f t="shared" si="0"/>
        <v>0.1</v>
      </c>
      <c r="AD19" s="18">
        <v>1</v>
      </c>
      <c r="AE19" s="111">
        <v>1</v>
      </c>
      <c r="AF19" s="18">
        <f t="shared" si="4"/>
        <v>0.1</v>
      </c>
      <c r="AG19" s="3" t="s">
        <v>202</v>
      </c>
      <c r="AH19" s="17">
        <f t="shared" si="2"/>
        <v>0.1</v>
      </c>
      <c r="AI19" s="18">
        <v>1</v>
      </c>
      <c r="AJ19" s="111">
        <v>1</v>
      </c>
      <c r="AK19" s="18">
        <f t="shared" si="5"/>
        <v>0.1</v>
      </c>
    </row>
    <row r="20" spans="1:37" ht="79.5" customHeight="1">
      <c r="A20" s="218"/>
      <c r="B20" s="218"/>
      <c r="C20" s="218"/>
      <c r="D20" s="218"/>
      <c r="E20" s="185"/>
      <c r="F20" s="196"/>
      <c r="G20" s="304"/>
      <c r="H20" s="156"/>
      <c r="I20" s="156"/>
      <c r="J20" s="83" t="s">
        <v>506</v>
      </c>
      <c r="K20" s="83" t="s">
        <v>359</v>
      </c>
      <c r="L20" s="100" t="s">
        <v>556</v>
      </c>
      <c r="M20" s="100" t="s">
        <v>594</v>
      </c>
      <c r="N20" s="80">
        <v>0.4</v>
      </c>
      <c r="O20" s="107">
        <v>0.59963685882886975</v>
      </c>
      <c r="P20" s="80">
        <v>1</v>
      </c>
      <c r="Q20" s="146">
        <v>0.44</v>
      </c>
      <c r="R20" s="134">
        <f>2622/4515</f>
        <v>0.58073089700996683</v>
      </c>
      <c r="S20" s="132">
        <v>1</v>
      </c>
      <c r="T20" s="180"/>
      <c r="U20" s="180"/>
      <c r="V20" s="180"/>
      <c r="W20" s="156"/>
      <c r="X20" s="156"/>
      <c r="Y20" s="156"/>
      <c r="Z20" s="156"/>
      <c r="AA20" s="306"/>
      <c r="AB20" s="3" t="s">
        <v>202</v>
      </c>
      <c r="AC20" s="17">
        <f t="shared" si="0"/>
        <v>0.1</v>
      </c>
      <c r="AD20" s="18">
        <v>1</v>
      </c>
      <c r="AE20" s="111">
        <v>1</v>
      </c>
      <c r="AF20" s="18">
        <f t="shared" si="4"/>
        <v>0.1</v>
      </c>
      <c r="AG20" s="3" t="s">
        <v>202</v>
      </c>
      <c r="AH20" s="17">
        <f t="shared" si="2"/>
        <v>0.1</v>
      </c>
      <c r="AI20" s="18">
        <v>1</v>
      </c>
      <c r="AJ20" s="111">
        <v>1</v>
      </c>
      <c r="AK20" s="18">
        <f t="shared" si="5"/>
        <v>0.1</v>
      </c>
    </row>
    <row r="21" spans="1:37" ht="37.5" customHeight="1">
      <c r="A21" s="218"/>
      <c r="B21" s="218"/>
      <c r="C21" s="218"/>
      <c r="D21" s="218"/>
      <c r="E21" s="185"/>
      <c r="F21" s="196"/>
      <c r="G21" s="304"/>
      <c r="H21" s="155" t="s">
        <v>247</v>
      </c>
      <c r="I21" s="155" t="s">
        <v>362</v>
      </c>
      <c r="J21" s="82" t="s">
        <v>505</v>
      </c>
      <c r="K21" s="83" t="s">
        <v>488</v>
      </c>
      <c r="L21" s="100" t="s">
        <v>557</v>
      </c>
      <c r="M21" s="100" t="s">
        <v>595</v>
      </c>
      <c r="N21" s="80">
        <v>0.56000000000000005</v>
      </c>
      <c r="O21" s="107">
        <v>0.83900962660443412</v>
      </c>
      <c r="P21" s="80">
        <v>1</v>
      </c>
      <c r="Q21" s="146">
        <v>0.68</v>
      </c>
      <c r="R21" s="134">
        <f>34886/41711</f>
        <v>0.8363740979597708</v>
      </c>
      <c r="S21" s="132">
        <v>1</v>
      </c>
      <c r="T21" s="180"/>
      <c r="U21" s="180"/>
      <c r="V21" s="180"/>
      <c r="W21" s="155" t="s">
        <v>251</v>
      </c>
      <c r="X21" s="155" t="s">
        <v>361</v>
      </c>
      <c r="Y21" s="155"/>
      <c r="Z21" s="155">
        <f>33*G17</f>
        <v>0.99</v>
      </c>
      <c r="AA21" s="306"/>
      <c r="AB21" s="3" t="s">
        <v>202</v>
      </c>
      <c r="AC21" s="17">
        <f t="shared" si="0"/>
        <v>0.1</v>
      </c>
      <c r="AD21" s="18">
        <v>1</v>
      </c>
      <c r="AE21" s="111">
        <v>1</v>
      </c>
      <c r="AF21" s="18">
        <f t="shared" si="4"/>
        <v>0.1</v>
      </c>
      <c r="AG21" s="3" t="s">
        <v>202</v>
      </c>
      <c r="AH21" s="17">
        <f t="shared" si="2"/>
        <v>0.1</v>
      </c>
      <c r="AI21" s="18">
        <v>1</v>
      </c>
      <c r="AJ21" s="111">
        <v>1</v>
      </c>
      <c r="AK21" s="18">
        <f t="shared" si="5"/>
        <v>0.1</v>
      </c>
    </row>
    <row r="22" spans="1:37" ht="56.25">
      <c r="A22" s="218"/>
      <c r="B22" s="218"/>
      <c r="C22" s="218"/>
      <c r="D22" s="218"/>
      <c r="E22" s="185"/>
      <c r="F22" s="196"/>
      <c r="G22" s="304"/>
      <c r="H22" s="156"/>
      <c r="I22" s="156"/>
      <c r="J22" s="83" t="s">
        <v>506</v>
      </c>
      <c r="K22" s="83" t="s">
        <v>359</v>
      </c>
      <c r="L22" s="100" t="s">
        <v>558</v>
      </c>
      <c r="M22" s="100" t="s">
        <v>596</v>
      </c>
      <c r="N22" s="80">
        <v>0.4</v>
      </c>
      <c r="O22" s="98">
        <f>17776/27424</f>
        <v>0.64819136522753795</v>
      </c>
      <c r="P22" s="80">
        <v>1</v>
      </c>
      <c r="Q22" s="146">
        <v>0.44</v>
      </c>
      <c r="R22" s="134">
        <f>28184/41333</f>
        <v>0.68187646674569957</v>
      </c>
      <c r="S22" s="132">
        <v>1</v>
      </c>
      <c r="T22" s="77"/>
      <c r="U22" s="77"/>
      <c r="V22" s="180"/>
      <c r="W22" s="241"/>
      <c r="X22" s="241"/>
      <c r="Y22" s="241"/>
      <c r="Z22" s="241"/>
      <c r="AA22" s="306"/>
      <c r="AB22" s="3" t="s">
        <v>202</v>
      </c>
      <c r="AC22" s="17">
        <f t="shared" si="0"/>
        <v>0.1</v>
      </c>
      <c r="AD22" s="18">
        <v>1</v>
      </c>
      <c r="AE22" s="111">
        <v>1</v>
      </c>
      <c r="AF22" s="18">
        <f t="shared" si="4"/>
        <v>0.1</v>
      </c>
      <c r="AG22" s="3" t="s">
        <v>202</v>
      </c>
      <c r="AH22" s="17">
        <f t="shared" si="2"/>
        <v>0.1</v>
      </c>
      <c r="AI22" s="18">
        <v>1</v>
      </c>
      <c r="AJ22" s="111">
        <v>1</v>
      </c>
      <c r="AK22" s="18">
        <f t="shared" si="5"/>
        <v>0.1</v>
      </c>
    </row>
    <row r="23" spans="1:37" ht="72" customHeight="1">
      <c r="A23" s="218"/>
      <c r="B23" s="218"/>
      <c r="C23" s="218"/>
      <c r="D23" s="218"/>
      <c r="E23" s="185"/>
      <c r="F23" s="196"/>
      <c r="G23" s="304"/>
      <c r="H23" s="155" t="s">
        <v>248</v>
      </c>
      <c r="I23" s="155" t="s">
        <v>362</v>
      </c>
      <c r="J23" s="82" t="s">
        <v>505</v>
      </c>
      <c r="K23" s="83" t="s">
        <v>488</v>
      </c>
      <c r="L23" s="99" t="s">
        <v>528</v>
      </c>
      <c r="M23" s="99" t="s">
        <v>615</v>
      </c>
      <c r="N23" s="107">
        <v>0.56000000000000005</v>
      </c>
      <c r="O23" s="98">
        <v>0.97446808510638294</v>
      </c>
      <c r="P23" s="80">
        <v>1</v>
      </c>
      <c r="Q23" s="146">
        <v>0.68</v>
      </c>
      <c r="R23" s="134">
        <f>1769/1769</f>
        <v>1</v>
      </c>
      <c r="S23" s="132">
        <v>1</v>
      </c>
      <c r="T23" s="180">
        <v>0.08</v>
      </c>
      <c r="U23" s="180">
        <v>0.08</v>
      </c>
      <c r="V23" s="180"/>
      <c r="W23" s="241"/>
      <c r="X23" s="241"/>
      <c r="Y23" s="241"/>
      <c r="Z23" s="241"/>
      <c r="AA23" s="306"/>
      <c r="AB23" s="3" t="s">
        <v>202</v>
      </c>
      <c r="AC23" s="17">
        <f t="shared" si="0"/>
        <v>0.1</v>
      </c>
      <c r="AD23" s="18">
        <v>1</v>
      </c>
      <c r="AE23" s="111">
        <v>1</v>
      </c>
      <c r="AF23" s="18">
        <f t="shared" si="4"/>
        <v>0.1</v>
      </c>
      <c r="AG23" s="3" t="s">
        <v>202</v>
      </c>
      <c r="AH23" s="17">
        <f t="shared" si="2"/>
        <v>0.1</v>
      </c>
      <c r="AI23" s="18">
        <v>1</v>
      </c>
      <c r="AJ23" s="111">
        <v>1</v>
      </c>
      <c r="AK23" s="18">
        <f t="shared" si="5"/>
        <v>0.1</v>
      </c>
    </row>
    <row r="24" spans="1:37" ht="72" customHeight="1">
      <c r="A24" s="218"/>
      <c r="B24" s="218"/>
      <c r="C24" s="218"/>
      <c r="D24" s="218"/>
      <c r="E24" s="185"/>
      <c r="F24" s="196"/>
      <c r="G24" s="304"/>
      <c r="H24" s="156"/>
      <c r="I24" s="156"/>
      <c r="J24" s="83" t="s">
        <v>506</v>
      </c>
      <c r="K24" s="83" t="s">
        <v>359</v>
      </c>
      <c r="L24" s="99" t="s">
        <v>529</v>
      </c>
      <c r="M24" s="99" t="s">
        <v>597</v>
      </c>
      <c r="N24" s="80">
        <v>0.4</v>
      </c>
      <c r="O24" s="98">
        <v>0.60050890585241734</v>
      </c>
      <c r="P24" s="80">
        <v>1</v>
      </c>
      <c r="Q24" s="146">
        <v>0.44</v>
      </c>
      <c r="R24" s="134">
        <f>593/951</f>
        <v>0.62355415352260779</v>
      </c>
      <c r="S24" s="132">
        <v>1</v>
      </c>
      <c r="T24" s="180"/>
      <c r="U24" s="180"/>
      <c r="V24" s="180"/>
      <c r="W24" s="241"/>
      <c r="X24" s="241"/>
      <c r="Y24" s="241"/>
      <c r="Z24" s="241"/>
      <c r="AA24" s="306"/>
      <c r="AB24" s="3" t="s">
        <v>202</v>
      </c>
      <c r="AC24" s="17">
        <f t="shared" si="0"/>
        <v>0.1</v>
      </c>
      <c r="AD24" s="18">
        <v>1</v>
      </c>
      <c r="AE24" s="111">
        <v>1</v>
      </c>
      <c r="AF24" s="18">
        <f t="shared" si="4"/>
        <v>0.1</v>
      </c>
      <c r="AG24" s="3" t="s">
        <v>202</v>
      </c>
      <c r="AH24" s="17">
        <f t="shared" si="2"/>
        <v>0.1</v>
      </c>
      <c r="AI24" s="18">
        <v>1</v>
      </c>
      <c r="AJ24" s="111">
        <v>1</v>
      </c>
      <c r="AK24" s="18">
        <f t="shared" si="5"/>
        <v>0.1</v>
      </c>
    </row>
    <row r="25" spans="1:37" ht="72" customHeight="1">
      <c r="A25" s="218"/>
      <c r="B25" s="218"/>
      <c r="C25" s="218"/>
      <c r="D25" s="218"/>
      <c r="E25" s="185"/>
      <c r="F25" s="196"/>
      <c r="G25" s="304"/>
      <c r="H25" s="160" t="s">
        <v>530</v>
      </c>
      <c r="I25" s="160" t="s">
        <v>362</v>
      </c>
      <c r="J25" s="82" t="s">
        <v>505</v>
      </c>
      <c r="K25" s="83" t="s">
        <v>488</v>
      </c>
      <c r="L25" s="99" t="s">
        <v>559</v>
      </c>
      <c r="M25" s="99" t="s">
        <v>598</v>
      </c>
      <c r="N25" s="101">
        <v>0.56000000000000005</v>
      </c>
      <c r="O25" s="107">
        <v>0.76083188908145583</v>
      </c>
      <c r="P25" s="101">
        <v>1</v>
      </c>
      <c r="Q25" s="146">
        <v>0.68</v>
      </c>
      <c r="R25" s="134">
        <f>5503/8148</f>
        <v>0.67538046146293573</v>
      </c>
      <c r="S25" s="132">
        <v>1</v>
      </c>
      <c r="T25" s="180"/>
      <c r="U25" s="180"/>
      <c r="V25" s="180"/>
      <c r="W25" s="241"/>
      <c r="X25" s="241"/>
      <c r="Y25" s="241"/>
      <c r="Z25" s="241"/>
      <c r="AA25" s="306"/>
      <c r="AB25" s="109" t="s">
        <v>202</v>
      </c>
      <c r="AC25" s="17">
        <f t="shared" ref="AC25:AC26" si="6">1/COUNTIF($AB$11:$AB$128,AB25)</f>
        <v>0.1</v>
      </c>
      <c r="AD25" s="18">
        <v>1</v>
      </c>
      <c r="AE25" s="111">
        <v>1</v>
      </c>
      <c r="AF25" s="18">
        <f t="shared" ref="AF25:AF26" si="7">AC25*AD25</f>
        <v>0.1</v>
      </c>
      <c r="AG25" s="109" t="s">
        <v>202</v>
      </c>
      <c r="AH25" s="17">
        <f t="shared" si="2"/>
        <v>0.1</v>
      </c>
      <c r="AI25" s="18">
        <v>1</v>
      </c>
      <c r="AJ25" s="111">
        <v>1</v>
      </c>
      <c r="AK25" s="18">
        <f t="shared" si="5"/>
        <v>0.1</v>
      </c>
    </row>
    <row r="26" spans="1:37" ht="72" customHeight="1">
      <c r="A26" s="218"/>
      <c r="B26" s="218"/>
      <c r="C26" s="218"/>
      <c r="D26" s="218"/>
      <c r="E26" s="185"/>
      <c r="F26" s="196"/>
      <c r="G26" s="304"/>
      <c r="H26" s="161"/>
      <c r="I26" s="161"/>
      <c r="J26" s="83" t="s">
        <v>506</v>
      </c>
      <c r="K26" s="83" t="s">
        <v>359</v>
      </c>
      <c r="L26" s="99" t="s">
        <v>560</v>
      </c>
      <c r="M26" s="99" t="s">
        <v>616</v>
      </c>
      <c r="N26" s="101">
        <v>0.4</v>
      </c>
      <c r="O26" s="107">
        <v>0.81165919282511201</v>
      </c>
      <c r="P26" s="101">
        <v>1</v>
      </c>
      <c r="Q26" s="146">
        <v>0.44</v>
      </c>
      <c r="R26" s="134">
        <f>388/458</f>
        <v>0.84716157205240172</v>
      </c>
      <c r="S26" s="132">
        <v>1</v>
      </c>
      <c r="T26" s="180"/>
      <c r="U26" s="180"/>
      <c r="V26" s="180"/>
      <c r="W26" s="156"/>
      <c r="X26" s="156"/>
      <c r="Y26" s="156"/>
      <c r="Z26" s="156"/>
      <c r="AA26" s="306"/>
      <c r="AB26" s="109" t="s">
        <v>202</v>
      </c>
      <c r="AC26" s="17">
        <f t="shared" si="6"/>
        <v>0.1</v>
      </c>
      <c r="AD26" s="18">
        <v>1</v>
      </c>
      <c r="AE26" s="111">
        <v>1</v>
      </c>
      <c r="AF26" s="18">
        <f t="shared" si="7"/>
        <v>0.1</v>
      </c>
      <c r="AG26" s="109" t="s">
        <v>202</v>
      </c>
      <c r="AH26" s="17">
        <f t="shared" si="2"/>
        <v>0.1</v>
      </c>
      <c r="AI26" s="18">
        <v>1</v>
      </c>
      <c r="AJ26" s="111">
        <v>1</v>
      </c>
      <c r="AK26" s="18">
        <f t="shared" si="5"/>
        <v>0.1</v>
      </c>
    </row>
    <row r="27" spans="1:37" ht="96" hidden="1" customHeight="1">
      <c r="A27" s="218"/>
      <c r="B27" s="218"/>
      <c r="C27" s="218"/>
      <c r="D27" s="218"/>
      <c r="E27" s="185"/>
      <c r="F27" s="196"/>
      <c r="G27" s="304"/>
      <c r="H27" s="155" t="s">
        <v>249</v>
      </c>
      <c r="I27" s="155" t="s">
        <v>362</v>
      </c>
      <c r="J27" s="82" t="s">
        <v>505</v>
      </c>
      <c r="K27" s="83" t="s">
        <v>488</v>
      </c>
      <c r="L27" s="99"/>
      <c r="M27" s="99"/>
      <c r="N27" s="80">
        <v>0.56000000000000005</v>
      </c>
      <c r="O27" s="106" t="s">
        <v>551</v>
      </c>
      <c r="P27" s="80" t="e">
        <f t="shared" ref="P27:P30" si="8">O27/N27</f>
        <v>#VALUE!</v>
      </c>
      <c r="Q27" s="131">
        <v>0.56000000000000005</v>
      </c>
      <c r="R27" s="77" t="s">
        <v>551</v>
      </c>
      <c r="S27" s="77"/>
      <c r="T27" s="180"/>
      <c r="U27" s="180"/>
      <c r="V27" s="180"/>
      <c r="W27" s="155" t="s">
        <v>71</v>
      </c>
      <c r="X27" s="155" t="s">
        <v>361</v>
      </c>
      <c r="Y27" s="155"/>
      <c r="Z27" s="155">
        <f>33*G17</f>
        <v>0.99</v>
      </c>
      <c r="AA27" s="306"/>
      <c r="AB27" s="3"/>
      <c r="AC27" s="17" t="e">
        <f t="shared" si="0"/>
        <v>#DIV/0!</v>
      </c>
      <c r="AD27" s="18"/>
      <c r="AE27" s="111"/>
      <c r="AF27" s="18" t="e">
        <f t="shared" si="4"/>
        <v>#DIV/0!</v>
      </c>
      <c r="AG27" s="3"/>
      <c r="AH27" s="17" t="e">
        <f t="shared" si="2"/>
        <v>#DIV/0!</v>
      </c>
      <c r="AI27" s="18"/>
      <c r="AJ27" s="111"/>
      <c r="AK27" s="18" t="e">
        <f t="shared" si="5"/>
        <v>#DIV/0!</v>
      </c>
    </row>
    <row r="28" spans="1:37" ht="96" hidden="1" customHeight="1">
      <c r="A28" s="218"/>
      <c r="B28" s="218"/>
      <c r="C28" s="218"/>
      <c r="D28" s="218"/>
      <c r="E28" s="185"/>
      <c r="F28" s="196"/>
      <c r="G28" s="304"/>
      <c r="H28" s="156"/>
      <c r="I28" s="156"/>
      <c r="J28" s="83" t="s">
        <v>506</v>
      </c>
      <c r="K28" s="83" t="s">
        <v>359</v>
      </c>
      <c r="L28" s="99"/>
      <c r="M28" s="99"/>
      <c r="N28" s="80">
        <v>0.4</v>
      </c>
      <c r="O28" s="106" t="s">
        <v>551</v>
      </c>
      <c r="P28" s="80" t="e">
        <f t="shared" si="8"/>
        <v>#VALUE!</v>
      </c>
      <c r="Q28" s="131">
        <v>0.4</v>
      </c>
      <c r="R28" s="77" t="s">
        <v>551</v>
      </c>
      <c r="S28" s="77"/>
      <c r="T28" s="180"/>
      <c r="U28" s="180"/>
      <c r="V28" s="180"/>
      <c r="W28" s="241"/>
      <c r="X28" s="241"/>
      <c r="Y28" s="241"/>
      <c r="Z28" s="241"/>
      <c r="AA28" s="306"/>
      <c r="AB28" s="3"/>
      <c r="AC28" s="17" t="e">
        <f t="shared" si="0"/>
        <v>#DIV/0!</v>
      </c>
      <c r="AD28" s="18"/>
      <c r="AE28" s="111"/>
      <c r="AF28" s="18" t="e">
        <f t="shared" si="4"/>
        <v>#DIV/0!</v>
      </c>
      <c r="AG28" s="3"/>
      <c r="AH28" s="17" t="e">
        <f t="shared" si="2"/>
        <v>#DIV/0!</v>
      </c>
      <c r="AI28" s="18"/>
      <c r="AJ28" s="111"/>
      <c r="AK28" s="18" t="e">
        <f t="shared" si="5"/>
        <v>#DIV/0!</v>
      </c>
    </row>
    <row r="29" spans="1:37" ht="89.25" hidden="1" customHeight="1">
      <c r="A29" s="218"/>
      <c r="B29" s="218"/>
      <c r="C29" s="218"/>
      <c r="D29" s="218"/>
      <c r="E29" s="185"/>
      <c r="F29" s="196"/>
      <c r="G29" s="304"/>
      <c r="H29" s="155" t="s">
        <v>250</v>
      </c>
      <c r="I29" s="155" t="s">
        <v>362</v>
      </c>
      <c r="J29" s="82" t="s">
        <v>505</v>
      </c>
      <c r="K29" s="83" t="s">
        <v>488</v>
      </c>
      <c r="L29" s="99"/>
      <c r="M29" s="99"/>
      <c r="N29" s="80">
        <v>0.56000000000000005</v>
      </c>
      <c r="O29" s="106" t="s">
        <v>551</v>
      </c>
      <c r="P29" s="80" t="e">
        <f t="shared" si="8"/>
        <v>#VALUE!</v>
      </c>
      <c r="Q29" s="131">
        <v>0.56000000000000005</v>
      </c>
      <c r="R29" s="77" t="s">
        <v>551</v>
      </c>
      <c r="S29" s="77"/>
      <c r="T29" s="180"/>
      <c r="U29" s="180"/>
      <c r="V29" s="180"/>
      <c r="W29" s="241"/>
      <c r="X29" s="241"/>
      <c r="Y29" s="241"/>
      <c r="Z29" s="241"/>
      <c r="AA29" s="306"/>
      <c r="AB29" s="3"/>
      <c r="AC29" s="17" t="e">
        <f t="shared" si="0"/>
        <v>#DIV/0!</v>
      </c>
      <c r="AD29" s="18"/>
      <c r="AE29" s="111"/>
      <c r="AF29" s="18" t="e">
        <f t="shared" si="4"/>
        <v>#DIV/0!</v>
      </c>
      <c r="AG29" s="3"/>
      <c r="AH29" s="17" t="e">
        <f t="shared" si="2"/>
        <v>#DIV/0!</v>
      </c>
      <c r="AI29" s="18"/>
      <c r="AJ29" s="111"/>
      <c r="AK29" s="18" t="e">
        <f t="shared" si="5"/>
        <v>#DIV/0!</v>
      </c>
    </row>
    <row r="30" spans="1:37" ht="89.25" hidden="1" customHeight="1">
      <c r="A30" s="218"/>
      <c r="B30" s="218"/>
      <c r="C30" s="218"/>
      <c r="D30" s="219"/>
      <c r="E30" s="185"/>
      <c r="F30" s="197"/>
      <c r="G30" s="305"/>
      <c r="H30" s="156"/>
      <c r="I30" s="156"/>
      <c r="J30" s="83" t="s">
        <v>506</v>
      </c>
      <c r="K30" s="83" t="s">
        <v>359</v>
      </c>
      <c r="L30" s="99"/>
      <c r="M30" s="99"/>
      <c r="N30" s="80">
        <v>0.4</v>
      </c>
      <c r="O30" s="106" t="s">
        <v>551</v>
      </c>
      <c r="P30" s="80" t="e">
        <f t="shared" si="8"/>
        <v>#VALUE!</v>
      </c>
      <c r="Q30" s="131">
        <v>0.4</v>
      </c>
      <c r="R30" s="77" t="s">
        <v>551</v>
      </c>
      <c r="S30" s="77"/>
      <c r="T30" s="77"/>
      <c r="U30" s="77"/>
      <c r="V30" s="77"/>
      <c r="W30" s="156"/>
      <c r="X30" s="156"/>
      <c r="Y30" s="156"/>
      <c r="Z30" s="156"/>
      <c r="AA30" s="81"/>
      <c r="AB30" s="3"/>
      <c r="AC30" s="17" t="e">
        <f t="shared" si="0"/>
        <v>#DIV/0!</v>
      </c>
      <c r="AD30" s="18"/>
      <c r="AE30" s="111"/>
      <c r="AF30" s="18" t="e">
        <f t="shared" si="4"/>
        <v>#DIV/0!</v>
      </c>
      <c r="AG30" s="3"/>
      <c r="AH30" s="17" t="e">
        <f t="shared" si="2"/>
        <v>#DIV/0!</v>
      </c>
      <c r="AI30" s="18"/>
      <c r="AJ30" s="111"/>
      <c r="AK30" s="18" t="e">
        <f t="shared" si="5"/>
        <v>#DIV/0!</v>
      </c>
    </row>
    <row r="31" spans="1:37" ht="79.5" customHeight="1">
      <c r="A31" s="218"/>
      <c r="B31" s="218"/>
      <c r="C31" s="218"/>
      <c r="D31" s="310" t="s">
        <v>46</v>
      </c>
      <c r="E31" s="185"/>
      <c r="F31" s="66" t="s">
        <v>291</v>
      </c>
      <c r="G31" s="140">
        <v>0.01</v>
      </c>
      <c r="H31" s="40" t="s">
        <v>275</v>
      </c>
      <c r="I31" s="61" t="s">
        <v>363</v>
      </c>
      <c r="J31" s="39" t="s">
        <v>22</v>
      </c>
      <c r="K31" s="97" t="s">
        <v>364</v>
      </c>
      <c r="L31" s="99" t="s">
        <v>531</v>
      </c>
      <c r="M31" s="99" t="s">
        <v>611</v>
      </c>
      <c r="N31" s="22">
        <v>0.95</v>
      </c>
      <c r="O31" s="108">
        <f>(1565+1500)/(1524+1673)</f>
        <v>0.95871129183609638</v>
      </c>
      <c r="P31" s="80">
        <v>1</v>
      </c>
      <c r="Q31" s="22">
        <v>0.95</v>
      </c>
      <c r="R31" s="77">
        <v>0.96</v>
      </c>
      <c r="S31" s="139">
        <v>1</v>
      </c>
      <c r="T31" s="22">
        <v>0.95</v>
      </c>
      <c r="U31" s="22">
        <v>0.95</v>
      </c>
      <c r="V31" s="22" t="s">
        <v>62</v>
      </c>
      <c r="W31" s="21" t="s">
        <v>72</v>
      </c>
      <c r="X31" s="63" t="s">
        <v>365</v>
      </c>
      <c r="Y31" s="21" t="s">
        <v>369</v>
      </c>
      <c r="Z31" s="43">
        <v>1</v>
      </c>
      <c r="AA31" s="66" t="s">
        <v>301</v>
      </c>
      <c r="AB31" s="4" t="s">
        <v>203</v>
      </c>
      <c r="AC31" s="17">
        <f t="shared" si="0"/>
        <v>1</v>
      </c>
      <c r="AD31" s="18">
        <v>1</v>
      </c>
      <c r="AE31" s="111">
        <v>1</v>
      </c>
      <c r="AF31" s="18">
        <f t="shared" si="1"/>
        <v>1</v>
      </c>
      <c r="AG31" s="4" t="s">
        <v>203</v>
      </c>
      <c r="AH31" s="17">
        <f t="shared" si="2"/>
        <v>1</v>
      </c>
      <c r="AI31" s="18">
        <v>1</v>
      </c>
      <c r="AJ31" s="111">
        <v>1</v>
      </c>
      <c r="AK31" s="18">
        <f t="shared" si="5"/>
        <v>1</v>
      </c>
    </row>
    <row r="32" spans="1:37" ht="39" customHeight="1">
      <c r="A32" s="218"/>
      <c r="B32" s="218"/>
      <c r="C32" s="218"/>
      <c r="D32" s="310"/>
      <c r="E32" s="185"/>
      <c r="F32" s="277" t="s">
        <v>292</v>
      </c>
      <c r="G32" s="278">
        <v>0.01</v>
      </c>
      <c r="H32" s="229" t="s">
        <v>266</v>
      </c>
      <c r="I32" s="157" t="s">
        <v>366</v>
      </c>
      <c r="J32" s="291" t="s">
        <v>320</v>
      </c>
      <c r="K32" s="294" t="s">
        <v>368</v>
      </c>
      <c r="L32" s="152">
        <v>0.7142857142857143</v>
      </c>
      <c r="M32" s="152" t="s">
        <v>582</v>
      </c>
      <c r="N32" s="180">
        <v>1</v>
      </c>
      <c r="O32" s="288">
        <v>0.7142857142857143</v>
      </c>
      <c r="P32" s="281">
        <v>0.71428571428571397</v>
      </c>
      <c r="Q32" s="180">
        <v>1</v>
      </c>
      <c r="R32" s="281">
        <v>0.8571428571428571</v>
      </c>
      <c r="S32" s="281">
        <v>0.8571428571428571</v>
      </c>
      <c r="T32" s="180">
        <v>1</v>
      </c>
      <c r="U32" s="180">
        <v>1</v>
      </c>
      <c r="V32" s="229" t="s">
        <v>62</v>
      </c>
      <c r="W32" s="23" t="s">
        <v>321</v>
      </c>
      <c r="X32" s="62" t="s">
        <v>367</v>
      </c>
      <c r="Y32" s="23"/>
      <c r="Z32" s="43">
        <f>34*G32</f>
        <v>0.34</v>
      </c>
      <c r="AA32" s="463" t="s">
        <v>301</v>
      </c>
      <c r="AB32" s="5" t="s">
        <v>204</v>
      </c>
      <c r="AC32" s="17">
        <f t="shared" si="0"/>
        <v>0.33333333333333331</v>
      </c>
      <c r="AD32" s="114">
        <v>0.71</v>
      </c>
      <c r="AE32" s="111">
        <v>1</v>
      </c>
      <c r="AF32" s="18">
        <f t="shared" ref="AF32" si="9">AC32*AD32</f>
        <v>0.23666666666666664</v>
      </c>
      <c r="AG32" s="5" t="s">
        <v>204</v>
      </c>
      <c r="AH32" s="17">
        <f t="shared" si="2"/>
        <v>0.33333333333333331</v>
      </c>
      <c r="AI32" s="114">
        <v>0.86</v>
      </c>
      <c r="AJ32" s="111">
        <v>1</v>
      </c>
      <c r="AK32" s="18">
        <f t="shared" si="5"/>
        <v>0.28666666666666663</v>
      </c>
    </row>
    <row r="33" spans="1:37" ht="54.75" customHeight="1">
      <c r="A33" s="218"/>
      <c r="B33" s="218"/>
      <c r="C33" s="218"/>
      <c r="D33" s="310"/>
      <c r="E33" s="185"/>
      <c r="F33" s="277"/>
      <c r="G33" s="278"/>
      <c r="H33" s="229"/>
      <c r="I33" s="158"/>
      <c r="J33" s="292"/>
      <c r="K33" s="153"/>
      <c r="L33" s="153"/>
      <c r="M33" s="153"/>
      <c r="N33" s="180"/>
      <c r="O33" s="289"/>
      <c r="P33" s="282"/>
      <c r="Q33" s="180"/>
      <c r="R33" s="282"/>
      <c r="S33" s="282"/>
      <c r="T33" s="180"/>
      <c r="U33" s="180"/>
      <c r="V33" s="229"/>
      <c r="W33" s="23" t="s">
        <v>252</v>
      </c>
      <c r="X33" s="62" t="s">
        <v>367</v>
      </c>
      <c r="Y33" s="23"/>
      <c r="Z33" s="43">
        <f>33*G32</f>
        <v>0.33</v>
      </c>
      <c r="AA33" s="468"/>
      <c r="AB33" s="5" t="s">
        <v>204</v>
      </c>
      <c r="AC33" s="17">
        <f t="shared" ref="AC33:AC81" si="10">1/COUNTIF($AB$11:$AB$128,AB33)</f>
        <v>0.33333333333333331</v>
      </c>
      <c r="AD33" s="114">
        <v>0.71</v>
      </c>
      <c r="AE33" s="111">
        <v>1</v>
      </c>
      <c r="AF33" s="18">
        <f t="shared" ref="AF33:AF81" si="11">AC33*AD33</f>
        <v>0.23666666666666664</v>
      </c>
      <c r="AG33" s="5" t="s">
        <v>204</v>
      </c>
      <c r="AH33" s="17">
        <f t="shared" si="2"/>
        <v>0.33333333333333331</v>
      </c>
      <c r="AI33" s="114">
        <v>0.86</v>
      </c>
      <c r="AJ33" s="111">
        <v>1</v>
      </c>
      <c r="AK33" s="18">
        <f t="shared" si="5"/>
        <v>0.28666666666666663</v>
      </c>
    </row>
    <row r="34" spans="1:37" ht="115.5" customHeight="1">
      <c r="A34" s="218"/>
      <c r="B34" s="218"/>
      <c r="C34" s="218"/>
      <c r="D34" s="310"/>
      <c r="E34" s="185"/>
      <c r="F34" s="277"/>
      <c r="G34" s="278"/>
      <c r="H34" s="229"/>
      <c r="I34" s="159"/>
      <c r="J34" s="293"/>
      <c r="K34" s="154"/>
      <c r="L34" s="154"/>
      <c r="M34" s="154"/>
      <c r="N34" s="180"/>
      <c r="O34" s="290"/>
      <c r="P34" s="283"/>
      <c r="Q34" s="180"/>
      <c r="R34" s="283"/>
      <c r="S34" s="283"/>
      <c r="T34" s="180"/>
      <c r="U34" s="180"/>
      <c r="V34" s="229"/>
      <c r="W34" s="20" t="s">
        <v>253</v>
      </c>
      <c r="X34" s="62" t="s">
        <v>367</v>
      </c>
      <c r="Y34" s="20"/>
      <c r="Z34" s="44">
        <f>33*G32</f>
        <v>0.33</v>
      </c>
      <c r="AA34" s="464"/>
      <c r="AB34" s="5" t="s">
        <v>204</v>
      </c>
      <c r="AC34" s="17">
        <f t="shared" si="10"/>
        <v>0.33333333333333331</v>
      </c>
      <c r="AD34" s="114">
        <v>0.71</v>
      </c>
      <c r="AE34" s="111">
        <v>1</v>
      </c>
      <c r="AF34" s="18">
        <f t="shared" si="11"/>
        <v>0.23666666666666664</v>
      </c>
      <c r="AG34" s="5" t="s">
        <v>204</v>
      </c>
      <c r="AH34" s="17">
        <f t="shared" si="2"/>
        <v>0.33333333333333331</v>
      </c>
      <c r="AI34" s="114">
        <v>0.86</v>
      </c>
      <c r="AJ34" s="111">
        <v>1</v>
      </c>
      <c r="AK34" s="18">
        <f t="shared" si="5"/>
        <v>0.28666666666666663</v>
      </c>
    </row>
    <row r="35" spans="1:37" ht="109.5" customHeight="1">
      <c r="A35" s="218"/>
      <c r="B35" s="218"/>
      <c r="C35" s="218"/>
      <c r="D35" s="310"/>
      <c r="E35" s="185"/>
      <c r="F35" s="66" t="s">
        <v>293</v>
      </c>
      <c r="G35" s="140">
        <v>0.01</v>
      </c>
      <c r="H35" s="24" t="s">
        <v>327</v>
      </c>
      <c r="I35" s="24" t="s">
        <v>370</v>
      </c>
      <c r="J35" s="39" t="s">
        <v>23</v>
      </c>
      <c r="K35" s="97" t="s">
        <v>371</v>
      </c>
      <c r="L35" s="99" t="s">
        <v>620</v>
      </c>
      <c r="M35" s="99" t="s">
        <v>621</v>
      </c>
      <c r="N35" s="22">
        <v>0.05</v>
      </c>
      <c r="O35" s="73">
        <v>0.05</v>
      </c>
      <c r="P35" s="80">
        <f>O35/N35</f>
        <v>1</v>
      </c>
      <c r="Q35" s="22">
        <v>0.05</v>
      </c>
      <c r="R35" s="147">
        <f>(13103+13809)/42600</f>
        <v>0.63173708920187799</v>
      </c>
      <c r="S35" s="132">
        <v>1</v>
      </c>
      <c r="T35" s="22">
        <v>0.05</v>
      </c>
      <c r="U35" s="22">
        <v>0.05</v>
      </c>
      <c r="V35" s="22" t="s">
        <v>58</v>
      </c>
      <c r="W35" s="21" t="s">
        <v>73</v>
      </c>
      <c r="X35" s="21" t="s">
        <v>372</v>
      </c>
      <c r="Y35" s="21"/>
      <c r="Z35" s="47">
        <v>1</v>
      </c>
      <c r="AA35" s="66" t="s">
        <v>301</v>
      </c>
      <c r="AB35" s="5" t="s">
        <v>205</v>
      </c>
      <c r="AC35" s="17">
        <f t="shared" si="10"/>
        <v>1</v>
      </c>
      <c r="AD35" s="104">
        <v>1</v>
      </c>
      <c r="AE35" s="111">
        <v>1</v>
      </c>
      <c r="AF35" s="18">
        <f t="shared" si="11"/>
        <v>1</v>
      </c>
      <c r="AG35" s="5" t="s">
        <v>205</v>
      </c>
      <c r="AH35" s="17">
        <f t="shared" si="2"/>
        <v>1</v>
      </c>
      <c r="AI35" s="104">
        <v>1</v>
      </c>
      <c r="AJ35" s="111">
        <v>1</v>
      </c>
      <c r="AK35" s="18">
        <f t="shared" si="5"/>
        <v>1</v>
      </c>
    </row>
    <row r="36" spans="1:37" ht="69" customHeight="1">
      <c r="A36" s="218"/>
      <c r="B36" s="218"/>
      <c r="C36" s="218"/>
      <c r="D36" s="310" t="s">
        <v>44</v>
      </c>
      <c r="E36" s="185"/>
      <c r="F36" s="195" t="s">
        <v>188</v>
      </c>
      <c r="G36" s="303">
        <v>0.02</v>
      </c>
      <c r="H36" s="198" t="s">
        <v>25</v>
      </c>
      <c r="I36" s="198" t="s">
        <v>338</v>
      </c>
      <c r="J36" s="157" t="s">
        <v>16</v>
      </c>
      <c r="K36" s="157" t="s">
        <v>339</v>
      </c>
      <c r="L36" s="119" t="s">
        <v>517</v>
      </c>
      <c r="M36" s="137" t="s">
        <v>575</v>
      </c>
      <c r="N36" s="79">
        <v>1</v>
      </c>
      <c r="O36" s="74">
        <v>0</v>
      </c>
      <c r="P36" s="80">
        <f t="shared" ref="P36:P39" si="12">O36/N36</f>
        <v>0</v>
      </c>
      <c r="Q36" s="95">
        <v>1</v>
      </c>
      <c r="R36" s="121">
        <v>1</v>
      </c>
      <c r="S36" s="127">
        <v>1</v>
      </c>
      <c r="T36" s="95">
        <v>1</v>
      </c>
      <c r="U36" s="95">
        <v>1</v>
      </c>
      <c r="V36" s="230" t="s">
        <v>58</v>
      </c>
      <c r="W36" s="518" t="s">
        <v>191</v>
      </c>
      <c r="X36" s="518" t="s">
        <v>341</v>
      </c>
      <c r="Y36" s="518" t="s">
        <v>342</v>
      </c>
      <c r="Z36" s="522">
        <f>30*G36</f>
        <v>0.6</v>
      </c>
      <c r="AA36" s="201" t="s">
        <v>302</v>
      </c>
      <c r="AB36" s="4" t="s">
        <v>206</v>
      </c>
      <c r="AC36" s="17">
        <f>1/COUNTIF($AB$11:$AB$128,AB36)</f>
        <v>0.25</v>
      </c>
      <c r="AD36" s="115">
        <v>0</v>
      </c>
      <c r="AE36" s="111">
        <v>1</v>
      </c>
      <c r="AF36" s="18">
        <f t="shared" si="11"/>
        <v>0</v>
      </c>
      <c r="AG36" s="4" t="s">
        <v>206</v>
      </c>
      <c r="AH36" s="17">
        <f t="shared" si="2"/>
        <v>0.25</v>
      </c>
      <c r="AI36" s="114">
        <v>1</v>
      </c>
      <c r="AJ36" s="111">
        <v>1</v>
      </c>
      <c r="AK36" s="18">
        <f t="shared" si="5"/>
        <v>0.25</v>
      </c>
    </row>
    <row r="37" spans="1:37" ht="67.5" customHeight="1">
      <c r="A37" s="218"/>
      <c r="B37" s="218"/>
      <c r="C37" s="218"/>
      <c r="D37" s="310"/>
      <c r="E37" s="185"/>
      <c r="F37" s="196"/>
      <c r="G37" s="304"/>
      <c r="H37" s="199"/>
      <c r="I37" s="199"/>
      <c r="J37" s="158"/>
      <c r="K37" s="158"/>
      <c r="L37" s="93" t="s">
        <v>518</v>
      </c>
      <c r="M37" s="136" t="s">
        <v>576</v>
      </c>
      <c r="N37" s="79">
        <v>1</v>
      </c>
      <c r="O37" s="74">
        <v>0</v>
      </c>
      <c r="P37" s="80">
        <f t="shared" si="12"/>
        <v>0</v>
      </c>
      <c r="Q37" s="95">
        <v>1</v>
      </c>
      <c r="R37" s="120">
        <v>0</v>
      </c>
      <c r="S37" s="126">
        <v>0</v>
      </c>
      <c r="T37" s="95">
        <v>1</v>
      </c>
      <c r="U37" s="95">
        <v>1</v>
      </c>
      <c r="V37" s="230"/>
      <c r="W37" s="519"/>
      <c r="X37" s="519"/>
      <c r="Y37" s="519"/>
      <c r="Z37" s="523"/>
      <c r="AA37" s="202"/>
      <c r="AB37" s="4" t="s">
        <v>206</v>
      </c>
      <c r="AC37" s="17">
        <f t="shared" si="10"/>
        <v>0.25</v>
      </c>
      <c r="AD37" s="115">
        <v>0</v>
      </c>
      <c r="AE37" s="111">
        <v>1</v>
      </c>
      <c r="AF37" s="18">
        <f t="shared" si="11"/>
        <v>0</v>
      </c>
      <c r="AG37" s="4" t="s">
        <v>206</v>
      </c>
      <c r="AH37" s="17">
        <f t="shared" si="2"/>
        <v>0.25</v>
      </c>
      <c r="AI37" s="115">
        <v>0</v>
      </c>
      <c r="AJ37" s="111">
        <v>1</v>
      </c>
      <c r="AK37" s="18">
        <f t="shared" si="5"/>
        <v>0</v>
      </c>
    </row>
    <row r="38" spans="1:37" ht="67.5" customHeight="1">
      <c r="A38" s="218"/>
      <c r="B38" s="218"/>
      <c r="C38" s="218"/>
      <c r="D38" s="310"/>
      <c r="E38" s="185"/>
      <c r="F38" s="196"/>
      <c r="G38" s="304"/>
      <c r="H38" s="199"/>
      <c r="I38" s="199"/>
      <c r="J38" s="158"/>
      <c r="K38" s="158"/>
      <c r="L38" s="94" t="s">
        <v>519</v>
      </c>
      <c r="M38" s="136" t="s">
        <v>577</v>
      </c>
      <c r="N38" s="79">
        <v>1</v>
      </c>
      <c r="O38" s="78">
        <v>0</v>
      </c>
      <c r="P38" s="80">
        <f t="shared" si="12"/>
        <v>0</v>
      </c>
      <c r="Q38" s="95">
        <v>1</v>
      </c>
      <c r="R38" s="120">
        <v>0</v>
      </c>
      <c r="S38" s="126">
        <v>0</v>
      </c>
      <c r="T38" s="95">
        <v>1</v>
      </c>
      <c r="U38" s="95">
        <v>1</v>
      </c>
      <c r="V38" s="78"/>
      <c r="W38" s="520" t="s">
        <v>178</v>
      </c>
      <c r="X38" s="518" t="s">
        <v>341</v>
      </c>
      <c r="Y38" s="518" t="s">
        <v>340</v>
      </c>
      <c r="Z38" s="524">
        <v>1.4</v>
      </c>
      <c r="AA38" s="202"/>
      <c r="AB38" s="4" t="s">
        <v>206</v>
      </c>
      <c r="AC38" s="17">
        <f t="shared" si="10"/>
        <v>0.25</v>
      </c>
      <c r="AD38" s="115">
        <v>0</v>
      </c>
      <c r="AE38" s="111">
        <v>1</v>
      </c>
      <c r="AF38" s="18">
        <f t="shared" si="11"/>
        <v>0</v>
      </c>
      <c r="AG38" s="4" t="s">
        <v>206</v>
      </c>
      <c r="AH38" s="17">
        <f t="shared" si="2"/>
        <v>0.25</v>
      </c>
      <c r="AI38" s="115">
        <v>0</v>
      </c>
      <c r="AJ38" s="111">
        <v>1</v>
      </c>
      <c r="AK38" s="18">
        <f t="shared" si="5"/>
        <v>0</v>
      </c>
    </row>
    <row r="39" spans="1:37" ht="67.5" customHeight="1">
      <c r="A39" s="218"/>
      <c r="B39" s="218"/>
      <c r="C39" s="218"/>
      <c r="D39" s="310"/>
      <c r="E39" s="185"/>
      <c r="F39" s="197"/>
      <c r="G39" s="305"/>
      <c r="H39" s="200"/>
      <c r="I39" s="200"/>
      <c r="J39" s="159"/>
      <c r="K39" s="159"/>
      <c r="L39" s="94" t="s">
        <v>520</v>
      </c>
      <c r="M39" s="136" t="s">
        <v>578</v>
      </c>
      <c r="N39" s="79">
        <v>1</v>
      </c>
      <c r="O39" s="78">
        <v>0</v>
      </c>
      <c r="P39" s="80">
        <f t="shared" si="12"/>
        <v>0</v>
      </c>
      <c r="Q39" s="95">
        <v>1</v>
      </c>
      <c r="R39" s="120">
        <v>1</v>
      </c>
      <c r="S39" s="128">
        <v>1</v>
      </c>
      <c r="T39" s="95">
        <v>1</v>
      </c>
      <c r="U39" s="95">
        <v>1</v>
      </c>
      <c r="V39" s="78"/>
      <c r="W39" s="521"/>
      <c r="X39" s="519"/>
      <c r="Y39" s="519"/>
      <c r="Z39" s="525"/>
      <c r="AA39" s="203"/>
      <c r="AB39" s="4" t="s">
        <v>206</v>
      </c>
      <c r="AC39" s="17">
        <f t="shared" si="10"/>
        <v>0.25</v>
      </c>
      <c r="AD39" s="115">
        <v>0</v>
      </c>
      <c r="AE39" s="111">
        <v>1</v>
      </c>
      <c r="AF39" s="18">
        <f t="shared" si="11"/>
        <v>0</v>
      </c>
      <c r="AG39" s="4" t="s">
        <v>206</v>
      </c>
      <c r="AH39" s="17">
        <f t="shared" si="2"/>
        <v>0.25</v>
      </c>
      <c r="AI39" s="114">
        <v>1</v>
      </c>
      <c r="AJ39" s="111">
        <v>1</v>
      </c>
      <c r="AK39" s="18">
        <f t="shared" si="5"/>
        <v>0.25</v>
      </c>
    </row>
    <row r="40" spans="1:37" ht="56.25" customHeight="1">
      <c r="A40" s="218"/>
      <c r="B40" s="218"/>
      <c r="C40" s="218"/>
      <c r="D40" s="310"/>
      <c r="E40" s="185" t="s">
        <v>59</v>
      </c>
      <c r="F40" s="279" t="s">
        <v>283</v>
      </c>
      <c r="G40" s="278">
        <v>0.02</v>
      </c>
      <c r="H40" s="229" t="s">
        <v>256</v>
      </c>
      <c r="I40" s="157" t="s">
        <v>445</v>
      </c>
      <c r="J40" s="291" t="s">
        <v>122</v>
      </c>
      <c r="K40" s="157" t="s">
        <v>489</v>
      </c>
      <c r="L40" s="171" t="s">
        <v>534</v>
      </c>
      <c r="M40" s="171" t="s">
        <v>599</v>
      </c>
      <c r="N40" s="230" t="s">
        <v>322</v>
      </c>
      <c r="O40" s="177">
        <f>1449485/27616</f>
        <v>52.487145133256085</v>
      </c>
      <c r="P40" s="162">
        <f>IF(O40&lt;=90,1,0)</f>
        <v>1</v>
      </c>
      <c r="Q40" s="230" t="s">
        <v>322</v>
      </c>
      <c r="R40" s="284">
        <f>1940873.46666832/32062</f>
        <v>60.535009252957394</v>
      </c>
      <c r="S40" s="285">
        <v>1</v>
      </c>
      <c r="T40" s="230" t="s">
        <v>322</v>
      </c>
      <c r="U40" s="230" t="s">
        <v>322</v>
      </c>
      <c r="V40" s="230" t="s">
        <v>58</v>
      </c>
      <c r="W40" s="21" t="s">
        <v>141</v>
      </c>
      <c r="X40" s="21" t="s">
        <v>445</v>
      </c>
      <c r="Y40" s="21" t="s">
        <v>446</v>
      </c>
      <c r="Z40" s="48">
        <f>40*G40</f>
        <v>0.8</v>
      </c>
      <c r="AA40" s="291" t="s">
        <v>303</v>
      </c>
      <c r="AB40" s="4" t="s">
        <v>207</v>
      </c>
      <c r="AC40" s="17">
        <f t="shared" si="10"/>
        <v>0.33333333333333331</v>
      </c>
      <c r="AD40" s="116">
        <v>1</v>
      </c>
      <c r="AE40" s="111">
        <v>1</v>
      </c>
      <c r="AF40" s="18">
        <f t="shared" si="11"/>
        <v>0.33333333333333331</v>
      </c>
      <c r="AG40" s="4" t="s">
        <v>207</v>
      </c>
      <c r="AH40" s="17">
        <f t="shared" si="2"/>
        <v>0.33333333333333331</v>
      </c>
      <c r="AI40" s="116">
        <v>1</v>
      </c>
      <c r="AJ40" s="111">
        <v>1</v>
      </c>
      <c r="AK40" s="18">
        <f t="shared" si="5"/>
        <v>0.33333333333333331</v>
      </c>
    </row>
    <row r="41" spans="1:37" ht="37.5">
      <c r="A41" s="218"/>
      <c r="B41" s="218"/>
      <c r="C41" s="218"/>
      <c r="D41" s="310"/>
      <c r="E41" s="185"/>
      <c r="F41" s="279"/>
      <c r="G41" s="278"/>
      <c r="H41" s="229"/>
      <c r="I41" s="158"/>
      <c r="J41" s="292"/>
      <c r="K41" s="158"/>
      <c r="L41" s="172"/>
      <c r="M41" s="172"/>
      <c r="N41" s="230"/>
      <c r="O41" s="178"/>
      <c r="P41" s="163"/>
      <c r="Q41" s="230"/>
      <c r="R41" s="284"/>
      <c r="S41" s="285"/>
      <c r="T41" s="230"/>
      <c r="U41" s="230"/>
      <c r="V41" s="230"/>
      <c r="W41" s="21" t="s">
        <v>196</v>
      </c>
      <c r="X41" s="21" t="s">
        <v>443</v>
      </c>
      <c r="Y41" s="21" t="s">
        <v>447</v>
      </c>
      <c r="Z41" s="48">
        <f>20*G40</f>
        <v>0.4</v>
      </c>
      <c r="AA41" s="292"/>
      <c r="AB41" s="4" t="s">
        <v>207</v>
      </c>
      <c r="AC41" s="17">
        <f t="shared" si="10"/>
        <v>0.33333333333333331</v>
      </c>
      <c r="AD41" s="116">
        <v>1</v>
      </c>
      <c r="AE41" s="111">
        <v>1</v>
      </c>
      <c r="AF41" s="18">
        <f t="shared" si="11"/>
        <v>0.33333333333333331</v>
      </c>
      <c r="AG41" s="4" t="s">
        <v>207</v>
      </c>
      <c r="AH41" s="17">
        <f t="shared" si="2"/>
        <v>0.33333333333333331</v>
      </c>
      <c r="AI41" s="116">
        <v>1</v>
      </c>
      <c r="AJ41" s="111">
        <v>1</v>
      </c>
      <c r="AK41" s="18">
        <f t="shared" si="5"/>
        <v>0.33333333333333331</v>
      </c>
    </row>
    <row r="42" spans="1:37" ht="42.75" customHeight="1">
      <c r="A42" s="218"/>
      <c r="B42" s="218"/>
      <c r="C42" s="218"/>
      <c r="D42" s="310"/>
      <c r="E42" s="185"/>
      <c r="F42" s="279"/>
      <c r="G42" s="278"/>
      <c r="H42" s="229"/>
      <c r="I42" s="159"/>
      <c r="J42" s="293"/>
      <c r="K42" s="159"/>
      <c r="L42" s="173"/>
      <c r="M42" s="173"/>
      <c r="N42" s="230"/>
      <c r="O42" s="179"/>
      <c r="P42" s="164"/>
      <c r="Q42" s="230"/>
      <c r="R42" s="284"/>
      <c r="S42" s="285"/>
      <c r="T42" s="230"/>
      <c r="U42" s="230"/>
      <c r="V42" s="230"/>
      <c r="W42" s="21" t="s">
        <v>131</v>
      </c>
      <c r="X42" s="21" t="s">
        <v>444</v>
      </c>
      <c r="Y42" s="21" t="s">
        <v>447</v>
      </c>
      <c r="Z42" s="48">
        <f>40*G40</f>
        <v>0.8</v>
      </c>
      <c r="AA42" s="293"/>
      <c r="AB42" s="4" t="s">
        <v>207</v>
      </c>
      <c r="AC42" s="17">
        <f t="shared" si="10"/>
        <v>0.33333333333333331</v>
      </c>
      <c r="AD42" s="116">
        <v>1</v>
      </c>
      <c r="AE42" s="111">
        <v>1</v>
      </c>
      <c r="AF42" s="18">
        <f t="shared" si="11"/>
        <v>0.33333333333333331</v>
      </c>
      <c r="AG42" s="4" t="s">
        <v>207</v>
      </c>
      <c r="AH42" s="17">
        <f t="shared" si="2"/>
        <v>0.33333333333333331</v>
      </c>
      <c r="AI42" s="116">
        <v>1</v>
      </c>
      <c r="AJ42" s="111">
        <v>1</v>
      </c>
      <c r="AK42" s="18">
        <f t="shared" si="5"/>
        <v>0.33333333333333331</v>
      </c>
    </row>
    <row r="43" spans="1:37" ht="59.25" customHeight="1">
      <c r="A43" s="218" t="s">
        <v>40</v>
      </c>
      <c r="B43" s="218" t="s">
        <v>43</v>
      </c>
      <c r="C43" s="218" t="s">
        <v>88</v>
      </c>
      <c r="D43" s="310"/>
      <c r="E43" s="185"/>
      <c r="F43" s="279" t="s">
        <v>49</v>
      </c>
      <c r="G43" s="278">
        <v>0.02</v>
      </c>
      <c r="H43" s="295" t="s">
        <v>448</v>
      </c>
      <c r="I43" s="149" t="s">
        <v>449</v>
      </c>
      <c r="J43" s="291" t="s">
        <v>12</v>
      </c>
      <c r="K43" s="157" t="s">
        <v>508</v>
      </c>
      <c r="L43" s="171" t="s">
        <v>535</v>
      </c>
      <c r="M43" s="171" t="s">
        <v>613</v>
      </c>
      <c r="N43" s="180">
        <v>0.02</v>
      </c>
      <c r="O43" s="281">
        <v>0.9516681560917486</v>
      </c>
      <c r="P43" s="162">
        <f>IF(O43&lt;=95,1,0)</f>
        <v>1</v>
      </c>
      <c r="Q43" s="180">
        <v>0.02</v>
      </c>
      <c r="R43" s="286">
        <v>1.0525668835864064</v>
      </c>
      <c r="S43" s="287">
        <v>0</v>
      </c>
      <c r="T43" s="180">
        <v>0.02</v>
      </c>
      <c r="U43" s="180">
        <v>0.02</v>
      </c>
      <c r="V43" s="180" t="s">
        <v>58</v>
      </c>
      <c r="W43" s="21" t="s">
        <v>197</v>
      </c>
      <c r="X43" s="21" t="s">
        <v>451</v>
      </c>
      <c r="Y43" s="21" t="s">
        <v>450</v>
      </c>
      <c r="Z43" s="48">
        <f>20*G43</f>
        <v>0.4</v>
      </c>
      <c r="AA43" s="291" t="s">
        <v>457</v>
      </c>
      <c r="AB43" s="4" t="s">
        <v>208</v>
      </c>
      <c r="AC43" s="17">
        <f t="shared" si="10"/>
        <v>0.33333333333333331</v>
      </c>
      <c r="AD43" s="116">
        <v>1</v>
      </c>
      <c r="AE43" s="111">
        <v>1</v>
      </c>
      <c r="AF43" s="18">
        <f t="shared" si="11"/>
        <v>0.33333333333333331</v>
      </c>
      <c r="AG43" s="4" t="s">
        <v>208</v>
      </c>
      <c r="AH43" s="17">
        <f t="shared" si="2"/>
        <v>0.33333333333333331</v>
      </c>
      <c r="AI43" s="116">
        <v>0</v>
      </c>
      <c r="AJ43" s="111">
        <v>1</v>
      </c>
      <c r="AK43" s="18">
        <f t="shared" si="5"/>
        <v>0</v>
      </c>
    </row>
    <row r="44" spans="1:37" ht="55.5" customHeight="1">
      <c r="A44" s="218"/>
      <c r="B44" s="218"/>
      <c r="C44" s="218"/>
      <c r="D44" s="310"/>
      <c r="E44" s="185"/>
      <c r="F44" s="279"/>
      <c r="G44" s="278"/>
      <c r="H44" s="295"/>
      <c r="I44" s="150"/>
      <c r="J44" s="292"/>
      <c r="K44" s="158"/>
      <c r="L44" s="172"/>
      <c r="M44" s="172"/>
      <c r="N44" s="180"/>
      <c r="O44" s="282"/>
      <c r="P44" s="163"/>
      <c r="Q44" s="180"/>
      <c r="R44" s="286"/>
      <c r="S44" s="287"/>
      <c r="T44" s="180"/>
      <c r="U44" s="180"/>
      <c r="V44" s="180"/>
      <c r="W44" s="21" t="s">
        <v>198</v>
      </c>
      <c r="X44" s="96" t="s">
        <v>458</v>
      </c>
      <c r="Y44" s="21" t="s">
        <v>452</v>
      </c>
      <c r="Z44" s="48">
        <f>40*G43</f>
        <v>0.8</v>
      </c>
      <c r="AA44" s="292"/>
      <c r="AB44" s="4" t="s">
        <v>208</v>
      </c>
      <c r="AC44" s="17">
        <f t="shared" si="10"/>
        <v>0.33333333333333331</v>
      </c>
      <c r="AD44" s="116">
        <v>1</v>
      </c>
      <c r="AE44" s="111">
        <v>1</v>
      </c>
      <c r="AF44" s="18">
        <f t="shared" si="11"/>
        <v>0.33333333333333331</v>
      </c>
      <c r="AG44" s="4" t="s">
        <v>208</v>
      </c>
      <c r="AH44" s="17">
        <f t="shared" si="2"/>
        <v>0.33333333333333331</v>
      </c>
      <c r="AI44" s="116">
        <v>0</v>
      </c>
      <c r="AJ44" s="111">
        <v>1</v>
      </c>
      <c r="AK44" s="18">
        <f t="shared" si="5"/>
        <v>0</v>
      </c>
    </row>
    <row r="45" spans="1:37" ht="63" customHeight="1">
      <c r="A45" s="218"/>
      <c r="B45" s="218"/>
      <c r="C45" s="218"/>
      <c r="D45" s="310"/>
      <c r="E45" s="185"/>
      <c r="F45" s="279"/>
      <c r="G45" s="278"/>
      <c r="H45" s="295"/>
      <c r="I45" s="151"/>
      <c r="J45" s="293"/>
      <c r="K45" s="159"/>
      <c r="L45" s="173"/>
      <c r="M45" s="173"/>
      <c r="N45" s="180"/>
      <c r="O45" s="283"/>
      <c r="P45" s="164"/>
      <c r="Q45" s="180"/>
      <c r="R45" s="286"/>
      <c r="S45" s="287"/>
      <c r="T45" s="180"/>
      <c r="U45" s="180"/>
      <c r="V45" s="180"/>
      <c r="W45" s="21" t="s">
        <v>192</v>
      </c>
      <c r="X45" s="64" t="s">
        <v>454</v>
      </c>
      <c r="Y45" s="64" t="s">
        <v>453</v>
      </c>
      <c r="Z45" s="49">
        <f>40*G43</f>
        <v>0.8</v>
      </c>
      <c r="AA45" s="293"/>
      <c r="AB45" s="4" t="s">
        <v>208</v>
      </c>
      <c r="AC45" s="17">
        <f t="shared" si="10"/>
        <v>0.33333333333333331</v>
      </c>
      <c r="AD45" s="116">
        <v>1</v>
      </c>
      <c r="AE45" s="111">
        <v>1</v>
      </c>
      <c r="AF45" s="18">
        <f t="shared" si="11"/>
        <v>0.33333333333333331</v>
      </c>
      <c r="AG45" s="4" t="s">
        <v>208</v>
      </c>
      <c r="AH45" s="17">
        <f t="shared" si="2"/>
        <v>0.33333333333333331</v>
      </c>
      <c r="AI45" s="116">
        <v>0</v>
      </c>
      <c r="AJ45" s="111">
        <v>1</v>
      </c>
      <c r="AK45" s="18">
        <f t="shared" si="5"/>
        <v>0</v>
      </c>
    </row>
    <row r="46" spans="1:37" ht="37.5" customHeight="1">
      <c r="A46" s="218"/>
      <c r="B46" s="218"/>
      <c r="C46" s="218"/>
      <c r="D46" s="310"/>
      <c r="E46" s="185"/>
      <c r="F46" s="279" t="s">
        <v>284</v>
      </c>
      <c r="G46" s="278">
        <v>0.01</v>
      </c>
      <c r="H46" s="295" t="s">
        <v>279</v>
      </c>
      <c r="I46" s="149" t="s">
        <v>449</v>
      </c>
      <c r="J46" s="291" t="s">
        <v>180</v>
      </c>
      <c r="K46" s="174" t="s">
        <v>509</v>
      </c>
      <c r="L46" s="195" t="s">
        <v>536</v>
      </c>
      <c r="M46" s="174" t="s">
        <v>614</v>
      </c>
      <c r="N46" s="180"/>
      <c r="O46" s="165">
        <f>401914/14303</f>
        <v>28.099979025379291</v>
      </c>
      <c r="P46" s="168"/>
      <c r="Q46" s="280" t="s">
        <v>281</v>
      </c>
      <c r="R46" s="240">
        <f>591474/20894</f>
        <v>28.308318177467214</v>
      </c>
      <c r="S46" s="287">
        <v>0</v>
      </c>
      <c r="T46" s="280" t="s">
        <v>281</v>
      </c>
      <c r="U46" s="280" t="s">
        <v>281</v>
      </c>
      <c r="V46" s="180" t="s">
        <v>62</v>
      </c>
      <c r="W46" s="21" t="s">
        <v>179</v>
      </c>
      <c r="X46" s="21" t="s">
        <v>459</v>
      </c>
      <c r="Y46" s="21" t="s">
        <v>460</v>
      </c>
      <c r="Z46" s="48">
        <f>35*G46</f>
        <v>0.35000000000000003</v>
      </c>
      <c r="AA46" s="291" t="s">
        <v>456</v>
      </c>
      <c r="AB46" s="7"/>
      <c r="AC46" s="17" t="e">
        <f t="shared" si="10"/>
        <v>#DIV/0!</v>
      </c>
      <c r="AD46" s="15"/>
      <c r="AE46" s="111"/>
      <c r="AF46" s="18" t="e">
        <f t="shared" si="11"/>
        <v>#DIV/0!</v>
      </c>
      <c r="AG46" s="4" t="s">
        <v>209</v>
      </c>
      <c r="AH46" s="17">
        <f t="shared" si="2"/>
        <v>0.33333333333333331</v>
      </c>
      <c r="AI46" s="113">
        <v>0</v>
      </c>
      <c r="AJ46" s="111">
        <v>1</v>
      </c>
      <c r="AK46" s="18">
        <f t="shared" si="5"/>
        <v>0</v>
      </c>
    </row>
    <row r="47" spans="1:37" ht="37.5">
      <c r="A47" s="218"/>
      <c r="B47" s="218"/>
      <c r="C47" s="218"/>
      <c r="D47" s="310"/>
      <c r="E47" s="185"/>
      <c r="F47" s="279"/>
      <c r="G47" s="278"/>
      <c r="H47" s="295"/>
      <c r="I47" s="150"/>
      <c r="J47" s="292"/>
      <c r="K47" s="175"/>
      <c r="L47" s="196"/>
      <c r="M47" s="175"/>
      <c r="N47" s="180"/>
      <c r="O47" s="166"/>
      <c r="P47" s="169"/>
      <c r="Q47" s="280"/>
      <c r="R47" s="240"/>
      <c r="S47" s="287"/>
      <c r="T47" s="280"/>
      <c r="U47" s="280"/>
      <c r="V47" s="180"/>
      <c r="W47" s="21" t="s">
        <v>198</v>
      </c>
      <c r="X47" s="21" t="s">
        <v>455</v>
      </c>
      <c r="Y47" s="21" t="s">
        <v>452</v>
      </c>
      <c r="Z47" s="48">
        <f>35*G46</f>
        <v>0.35000000000000003</v>
      </c>
      <c r="AA47" s="292"/>
      <c r="AB47" s="7"/>
      <c r="AC47" s="17" t="e">
        <f t="shared" si="10"/>
        <v>#DIV/0!</v>
      </c>
      <c r="AD47" s="15"/>
      <c r="AE47" s="111"/>
      <c r="AF47" s="18" t="e">
        <f t="shared" si="11"/>
        <v>#DIV/0!</v>
      </c>
      <c r="AG47" s="4" t="s">
        <v>209</v>
      </c>
      <c r="AH47" s="17">
        <f t="shared" si="2"/>
        <v>0.33333333333333331</v>
      </c>
      <c r="AI47" s="113">
        <v>0</v>
      </c>
      <c r="AJ47" s="111">
        <v>1</v>
      </c>
      <c r="AK47" s="18">
        <f t="shared" si="5"/>
        <v>0</v>
      </c>
    </row>
    <row r="48" spans="1:37" ht="54.75" customHeight="1">
      <c r="A48" s="218"/>
      <c r="B48" s="218"/>
      <c r="C48" s="218"/>
      <c r="D48" s="310"/>
      <c r="E48" s="185"/>
      <c r="F48" s="279"/>
      <c r="G48" s="278"/>
      <c r="H48" s="295"/>
      <c r="I48" s="151"/>
      <c r="J48" s="293"/>
      <c r="K48" s="176"/>
      <c r="L48" s="197"/>
      <c r="M48" s="176"/>
      <c r="N48" s="180"/>
      <c r="O48" s="167"/>
      <c r="P48" s="170"/>
      <c r="Q48" s="280"/>
      <c r="R48" s="240"/>
      <c r="S48" s="287"/>
      <c r="T48" s="280"/>
      <c r="U48" s="280"/>
      <c r="V48" s="180"/>
      <c r="W48" s="21" t="s">
        <v>192</v>
      </c>
      <c r="X48" s="64" t="s">
        <v>454</v>
      </c>
      <c r="Y48" s="64" t="s">
        <v>453</v>
      </c>
      <c r="Z48" s="48">
        <f>30*G46</f>
        <v>0.3</v>
      </c>
      <c r="AA48" s="293"/>
      <c r="AB48" s="7"/>
      <c r="AC48" s="17" t="e">
        <f t="shared" si="10"/>
        <v>#DIV/0!</v>
      </c>
      <c r="AD48" s="15"/>
      <c r="AE48" s="111"/>
      <c r="AF48" s="18" t="e">
        <f t="shared" si="11"/>
        <v>#DIV/0!</v>
      </c>
      <c r="AG48" s="4" t="s">
        <v>209</v>
      </c>
      <c r="AH48" s="17">
        <f t="shared" si="2"/>
        <v>0.33333333333333331</v>
      </c>
      <c r="AI48" s="113">
        <v>0</v>
      </c>
      <c r="AJ48" s="111">
        <v>1</v>
      </c>
      <c r="AK48" s="18">
        <f t="shared" si="5"/>
        <v>0</v>
      </c>
    </row>
    <row r="49" spans="1:37" s="12" customFormat="1" ht="84.75" customHeight="1">
      <c r="A49" s="218"/>
      <c r="B49" s="218"/>
      <c r="C49" s="218"/>
      <c r="D49" s="310"/>
      <c r="E49" s="185"/>
      <c r="F49" s="195" t="s">
        <v>240</v>
      </c>
      <c r="G49" s="303">
        <v>0.01</v>
      </c>
      <c r="H49" s="209" t="s">
        <v>282</v>
      </c>
      <c r="I49" s="209" t="s">
        <v>461</v>
      </c>
      <c r="J49" s="160" t="s">
        <v>181</v>
      </c>
      <c r="K49" s="160" t="s">
        <v>580</v>
      </c>
      <c r="L49" s="201" t="s">
        <v>579</v>
      </c>
      <c r="M49" s="217" t="s">
        <v>600</v>
      </c>
      <c r="N49" s="204"/>
      <c r="O49" s="271"/>
      <c r="P49" s="204"/>
      <c r="Q49" s="206">
        <v>0.02</v>
      </c>
      <c r="R49" s="454">
        <f>(18742/4241)</f>
        <v>4.4192407451072864</v>
      </c>
      <c r="S49" s="456">
        <v>1</v>
      </c>
      <c r="T49" s="180">
        <v>0.04</v>
      </c>
      <c r="U49" s="180">
        <v>0.04</v>
      </c>
      <c r="V49" s="180" t="s">
        <v>58</v>
      </c>
      <c r="W49" s="26" t="s">
        <v>182</v>
      </c>
      <c r="X49" s="26" t="s">
        <v>462</v>
      </c>
      <c r="Y49" s="27" t="s">
        <v>465</v>
      </c>
      <c r="Z49" s="50">
        <f>40*G49</f>
        <v>0.4</v>
      </c>
      <c r="AA49" s="345" t="s">
        <v>304</v>
      </c>
      <c r="AB49" s="7"/>
      <c r="AC49" s="17" t="e">
        <f t="shared" si="10"/>
        <v>#DIV/0!</v>
      </c>
      <c r="AD49" s="15"/>
      <c r="AE49" s="111"/>
      <c r="AF49" s="18" t="e">
        <f t="shared" si="11"/>
        <v>#DIV/0!</v>
      </c>
      <c r="AG49" s="4" t="s">
        <v>210</v>
      </c>
      <c r="AH49" s="17">
        <f t="shared" si="2"/>
        <v>0.33333333333333331</v>
      </c>
      <c r="AI49" s="113">
        <v>1</v>
      </c>
      <c r="AJ49" s="111">
        <v>1</v>
      </c>
      <c r="AK49" s="18">
        <f t="shared" si="5"/>
        <v>0.33333333333333331</v>
      </c>
    </row>
    <row r="50" spans="1:37" s="12" customFormat="1" ht="60" customHeight="1">
      <c r="A50" s="218"/>
      <c r="B50" s="218"/>
      <c r="C50" s="218"/>
      <c r="D50" s="310"/>
      <c r="E50" s="185"/>
      <c r="F50" s="196"/>
      <c r="G50" s="304"/>
      <c r="H50" s="210"/>
      <c r="I50" s="210"/>
      <c r="J50" s="274"/>
      <c r="K50" s="274"/>
      <c r="L50" s="202"/>
      <c r="M50" s="218"/>
      <c r="N50" s="258"/>
      <c r="O50" s="272"/>
      <c r="P50" s="258"/>
      <c r="Q50" s="207"/>
      <c r="R50" s="454"/>
      <c r="S50" s="457"/>
      <c r="T50" s="180"/>
      <c r="U50" s="180"/>
      <c r="V50" s="180"/>
      <c r="W50" s="25" t="s">
        <v>183</v>
      </c>
      <c r="X50" s="25" t="s">
        <v>464</v>
      </c>
      <c r="Y50" s="25" t="s">
        <v>463</v>
      </c>
      <c r="Z50" s="51">
        <f>30*G49</f>
        <v>0.3</v>
      </c>
      <c r="AA50" s="346"/>
      <c r="AB50" s="7"/>
      <c r="AC50" s="17" t="e">
        <f t="shared" si="10"/>
        <v>#DIV/0!</v>
      </c>
      <c r="AD50" s="15"/>
      <c r="AE50" s="111"/>
      <c r="AF50" s="18" t="e">
        <f t="shared" si="11"/>
        <v>#DIV/0!</v>
      </c>
      <c r="AG50" s="4" t="s">
        <v>210</v>
      </c>
      <c r="AH50" s="17">
        <f t="shared" si="2"/>
        <v>0.33333333333333331</v>
      </c>
      <c r="AI50" s="113">
        <v>1</v>
      </c>
      <c r="AJ50" s="111">
        <v>1</v>
      </c>
      <c r="AK50" s="18">
        <f t="shared" si="5"/>
        <v>0.33333333333333331</v>
      </c>
    </row>
    <row r="51" spans="1:37" s="12" customFormat="1" ht="61.5" customHeight="1">
      <c r="A51" s="218"/>
      <c r="B51" s="218"/>
      <c r="C51" s="218"/>
      <c r="D51" s="310"/>
      <c r="E51" s="185"/>
      <c r="F51" s="196"/>
      <c r="G51" s="304"/>
      <c r="H51" s="210"/>
      <c r="I51" s="210"/>
      <c r="J51" s="274"/>
      <c r="K51" s="274"/>
      <c r="L51" s="202"/>
      <c r="M51" s="219"/>
      <c r="N51" s="258"/>
      <c r="O51" s="272"/>
      <c r="P51" s="258"/>
      <c r="Q51" s="207"/>
      <c r="R51" s="454"/>
      <c r="S51" s="457"/>
      <c r="T51" s="180"/>
      <c r="U51" s="180"/>
      <c r="V51" s="180"/>
      <c r="W51" s="25" t="s">
        <v>184</v>
      </c>
      <c r="X51" s="25" t="s">
        <v>466</v>
      </c>
      <c r="Y51" s="25"/>
      <c r="Z51" s="51">
        <f>30*G49</f>
        <v>0.3</v>
      </c>
      <c r="AA51" s="347"/>
      <c r="AB51" s="7"/>
      <c r="AC51" s="17" t="e">
        <f t="shared" si="10"/>
        <v>#DIV/0!</v>
      </c>
      <c r="AD51" s="15"/>
      <c r="AE51" s="111"/>
      <c r="AF51" s="18" t="e">
        <f t="shared" si="11"/>
        <v>#DIV/0!</v>
      </c>
      <c r="AG51" s="4" t="s">
        <v>210</v>
      </c>
      <c r="AH51" s="17">
        <f t="shared" si="2"/>
        <v>0.33333333333333331</v>
      </c>
      <c r="AI51" s="113">
        <v>1</v>
      </c>
      <c r="AJ51" s="111">
        <v>1</v>
      </c>
      <c r="AK51" s="18">
        <f t="shared" si="5"/>
        <v>0.33333333333333331</v>
      </c>
    </row>
    <row r="52" spans="1:37" s="12" customFormat="1" ht="61.5" customHeight="1">
      <c r="A52" s="218"/>
      <c r="B52" s="218"/>
      <c r="C52" s="218"/>
      <c r="D52" s="310"/>
      <c r="E52" s="185"/>
      <c r="F52" s="197"/>
      <c r="G52" s="305"/>
      <c r="H52" s="211"/>
      <c r="I52" s="211"/>
      <c r="J52" s="161"/>
      <c r="K52" s="161"/>
      <c r="L52" s="203"/>
      <c r="M52" s="138" t="s">
        <v>601</v>
      </c>
      <c r="N52" s="205"/>
      <c r="O52" s="129"/>
      <c r="P52" s="205"/>
      <c r="Q52" s="208"/>
      <c r="R52" s="130">
        <f>(10077/2786)</f>
        <v>3.617013639626705</v>
      </c>
      <c r="S52" s="458"/>
      <c r="T52" s="125"/>
      <c r="U52" s="125"/>
      <c r="V52" s="125"/>
      <c r="W52" s="25"/>
      <c r="X52" s="25"/>
      <c r="Y52" s="25"/>
      <c r="Z52" s="51"/>
      <c r="AA52" s="124"/>
      <c r="AB52" s="7"/>
      <c r="AC52" s="17"/>
      <c r="AD52" s="15"/>
      <c r="AE52" s="111"/>
      <c r="AF52" s="18"/>
      <c r="AG52" s="4"/>
      <c r="AH52" s="17"/>
      <c r="AI52" s="113"/>
      <c r="AJ52" s="111"/>
      <c r="AK52" s="18"/>
    </row>
    <row r="53" spans="1:37" s="12" customFormat="1" ht="48.75" customHeight="1">
      <c r="A53" s="218"/>
      <c r="B53" s="218"/>
      <c r="C53" s="218"/>
      <c r="D53" s="310"/>
      <c r="E53" s="185"/>
      <c r="F53" s="279" t="s">
        <v>323</v>
      </c>
      <c r="G53" s="278">
        <v>0.03</v>
      </c>
      <c r="H53" s="356" t="s">
        <v>324</v>
      </c>
      <c r="I53" s="209" t="s">
        <v>467</v>
      </c>
      <c r="J53" s="345" t="s">
        <v>185</v>
      </c>
      <c r="K53" s="160" t="s">
        <v>490</v>
      </c>
      <c r="L53" s="201" t="s">
        <v>546</v>
      </c>
      <c r="M53" s="217" t="s">
        <v>602</v>
      </c>
      <c r="N53" s="268"/>
      <c r="O53" s="271"/>
      <c r="P53" s="204"/>
      <c r="Q53" s="453">
        <v>3</v>
      </c>
      <c r="R53" s="453">
        <v>1</v>
      </c>
      <c r="S53" s="455">
        <f>+R53/Q53</f>
        <v>0.33333333333333331</v>
      </c>
      <c r="T53" s="180"/>
      <c r="U53" s="180"/>
      <c r="V53" s="180" t="s">
        <v>62</v>
      </c>
      <c r="W53" s="26" t="s">
        <v>325</v>
      </c>
      <c r="X53" s="26" t="s">
        <v>468</v>
      </c>
      <c r="Y53" s="26"/>
      <c r="Z53" s="50">
        <f>34*G53</f>
        <v>1.02</v>
      </c>
      <c r="AA53" s="345" t="s">
        <v>305</v>
      </c>
      <c r="AB53" s="7"/>
      <c r="AC53" s="17" t="e">
        <f t="shared" si="10"/>
        <v>#DIV/0!</v>
      </c>
      <c r="AD53" s="15"/>
      <c r="AE53" s="111"/>
      <c r="AF53" s="18" t="e">
        <f t="shared" si="11"/>
        <v>#DIV/0!</v>
      </c>
      <c r="AG53" s="4" t="s">
        <v>211</v>
      </c>
      <c r="AH53" s="17">
        <f t="shared" si="2"/>
        <v>0.33333333333333331</v>
      </c>
      <c r="AI53" s="145">
        <v>1</v>
      </c>
      <c r="AJ53" s="111">
        <v>1</v>
      </c>
      <c r="AK53" s="18">
        <f t="shared" si="5"/>
        <v>0.33333333333333331</v>
      </c>
    </row>
    <row r="54" spans="1:37" s="12" customFormat="1" ht="52.5" customHeight="1">
      <c r="A54" s="218"/>
      <c r="B54" s="218"/>
      <c r="C54" s="218"/>
      <c r="D54" s="310"/>
      <c r="E54" s="185"/>
      <c r="F54" s="279"/>
      <c r="G54" s="278"/>
      <c r="H54" s="356"/>
      <c r="I54" s="210"/>
      <c r="J54" s="346"/>
      <c r="K54" s="274"/>
      <c r="L54" s="202"/>
      <c r="M54" s="218"/>
      <c r="N54" s="268"/>
      <c r="O54" s="272"/>
      <c r="P54" s="258"/>
      <c r="Q54" s="453"/>
      <c r="R54" s="453"/>
      <c r="S54" s="455"/>
      <c r="T54" s="180"/>
      <c r="U54" s="180"/>
      <c r="V54" s="180"/>
      <c r="W54" s="26" t="s">
        <v>186</v>
      </c>
      <c r="X54" s="26" t="s">
        <v>469</v>
      </c>
      <c r="Y54" s="26"/>
      <c r="Z54" s="50">
        <f>33*G53</f>
        <v>0.99</v>
      </c>
      <c r="AA54" s="346"/>
      <c r="AB54" s="7"/>
      <c r="AC54" s="17" t="e">
        <f t="shared" si="10"/>
        <v>#DIV/0!</v>
      </c>
      <c r="AD54" s="15"/>
      <c r="AE54" s="111"/>
      <c r="AF54" s="18" t="e">
        <f t="shared" si="11"/>
        <v>#DIV/0!</v>
      </c>
      <c r="AG54" s="4" t="s">
        <v>211</v>
      </c>
      <c r="AH54" s="17">
        <f t="shared" si="2"/>
        <v>0.33333333333333331</v>
      </c>
      <c r="AI54" s="145">
        <v>0</v>
      </c>
      <c r="AJ54" s="111">
        <v>1</v>
      </c>
      <c r="AK54" s="18">
        <f t="shared" si="5"/>
        <v>0</v>
      </c>
    </row>
    <row r="55" spans="1:37" s="12" customFormat="1" ht="57.75" customHeight="1">
      <c r="A55" s="218"/>
      <c r="B55" s="218"/>
      <c r="C55" s="218"/>
      <c r="D55" s="310"/>
      <c r="E55" s="185"/>
      <c r="F55" s="279"/>
      <c r="G55" s="278"/>
      <c r="H55" s="356"/>
      <c r="I55" s="211"/>
      <c r="J55" s="347"/>
      <c r="K55" s="161"/>
      <c r="L55" s="203"/>
      <c r="M55" s="219"/>
      <c r="N55" s="268"/>
      <c r="O55" s="273"/>
      <c r="P55" s="205"/>
      <c r="Q55" s="453"/>
      <c r="R55" s="453"/>
      <c r="S55" s="455"/>
      <c r="T55" s="180"/>
      <c r="U55" s="180"/>
      <c r="V55" s="180"/>
      <c r="W55" s="27" t="s">
        <v>187</v>
      </c>
      <c r="X55" s="27" t="s">
        <v>470</v>
      </c>
      <c r="Y55" s="27"/>
      <c r="Z55" s="52">
        <f>33*G53</f>
        <v>0.99</v>
      </c>
      <c r="AA55" s="347"/>
      <c r="AB55" s="7"/>
      <c r="AC55" s="17" t="e">
        <f t="shared" si="10"/>
        <v>#DIV/0!</v>
      </c>
      <c r="AD55" s="15"/>
      <c r="AE55" s="111"/>
      <c r="AF55" s="18" t="e">
        <f t="shared" si="11"/>
        <v>#DIV/0!</v>
      </c>
      <c r="AG55" s="4" t="s">
        <v>211</v>
      </c>
      <c r="AH55" s="17">
        <f t="shared" si="2"/>
        <v>0.33333333333333331</v>
      </c>
      <c r="AI55" s="145">
        <v>0</v>
      </c>
      <c r="AJ55" s="111">
        <v>1</v>
      </c>
      <c r="AK55" s="18">
        <f t="shared" si="5"/>
        <v>0</v>
      </c>
    </row>
    <row r="56" spans="1:37" s="12" customFormat="1" ht="97.5" customHeight="1">
      <c r="A56" s="218"/>
      <c r="B56" s="218"/>
      <c r="C56" s="218"/>
      <c r="D56" s="310"/>
      <c r="E56" s="185"/>
      <c r="F56" s="279" t="s">
        <v>294</v>
      </c>
      <c r="G56" s="298">
        <v>0.02</v>
      </c>
      <c r="H56" s="235">
        <v>0</v>
      </c>
      <c r="I56" s="160" t="s">
        <v>471</v>
      </c>
      <c r="J56" s="345" t="s">
        <v>326</v>
      </c>
      <c r="K56" s="160" t="s">
        <v>472</v>
      </c>
      <c r="L56" s="160" t="s">
        <v>547</v>
      </c>
      <c r="M56" s="160" t="s">
        <v>547</v>
      </c>
      <c r="N56" s="236">
        <v>0.2</v>
      </c>
      <c r="O56" s="206">
        <f>13/25</f>
        <v>0.52</v>
      </c>
      <c r="P56" s="206">
        <v>1</v>
      </c>
      <c r="Q56" s="236">
        <v>0.2</v>
      </c>
      <c r="R56" s="236">
        <v>0.52</v>
      </c>
      <c r="S56" s="253">
        <v>1</v>
      </c>
      <c r="T56" s="236">
        <v>0.2</v>
      </c>
      <c r="U56" s="236">
        <v>0.2</v>
      </c>
      <c r="V56" s="235" t="s">
        <v>62</v>
      </c>
      <c r="W56" s="27" t="s">
        <v>332</v>
      </c>
      <c r="X56" s="27" t="s">
        <v>473</v>
      </c>
      <c r="Y56" s="27" t="s">
        <v>475</v>
      </c>
      <c r="Z56" s="52">
        <f>50*G56</f>
        <v>1</v>
      </c>
      <c r="AA56" s="345" t="s">
        <v>305</v>
      </c>
      <c r="AB56" s="112" t="s">
        <v>212</v>
      </c>
      <c r="AC56" s="17">
        <f t="shared" si="10"/>
        <v>0.5</v>
      </c>
      <c r="AD56" s="116">
        <v>1</v>
      </c>
      <c r="AE56" s="111">
        <v>1</v>
      </c>
      <c r="AF56" s="18">
        <f t="shared" si="11"/>
        <v>0.5</v>
      </c>
      <c r="AG56" s="112" t="s">
        <v>212</v>
      </c>
      <c r="AH56" s="17">
        <f t="shared" si="2"/>
        <v>0.5</v>
      </c>
      <c r="AI56" s="116">
        <v>1</v>
      </c>
      <c r="AJ56" s="111">
        <v>1</v>
      </c>
      <c r="AK56" s="18">
        <f t="shared" si="5"/>
        <v>0.5</v>
      </c>
    </row>
    <row r="57" spans="1:37" s="12" customFormat="1" ht="93" customHeight="1">
      <c r="A57" s="218"/>
      <c r="B57" s="218"/>
      <c r="C57" s="218"/>
      <c r="D57" s="310"/>
      <c r="E57" s="185"/>
      <c r="F57" s="279"/>
      <c r="G57" s="298"/>
      <c r="H57" s="235"/>
      <c r="I57" s="161"/>
      <c r="J57" s="347"/>
      <c r="K57" s="161"/>
      <c r="L57" s="161"/>
      <c r="M57" s="161"/>
      <c r="N57" s="236"/>
      <c r="O57" s="208"/>
      <c r="P57" s="208"/>
      <c r="Q57" s="236"/>
      <c r="R57" s="236"/>
      <c r="S57" s="253"/>
      <c r="T57" s="236"/>
      <c r="U57" s="236"/>
      <c r="V57" s="235"/>
      <c r="W57" s="27" t="s">
        <v>246</v>
      </c>
      <c r="X57" s="27" t="s">
        <v>474</v>
      </c>
      <c r="Y57" s="27" t="s">
        <v>476</v>
      </c>
      <c r="Z57" s="52">
        <f>50*G56</f>
        <v>1</v>
      </c>
      <c r="AA57" s="347"/>
      <c r="AB57" s="112" t="s">
        <v>212</v>
      </c>
      <c r="AC57" s="17">
        <f t="shared" si="10"/>
        <v>0.5</v>
      </c>
      <c r="AD57" s="116">
        <v>1</v>
      </c>
      <c r="AE57" s="111">
        <v>1</v>
      </c>
      <c r="AF57" s="18">
        <f t="shared" si="11"/>
        <v>0.5</v>
      </c>
      <c r="AG57" s="112" t="s">
        <v>212</v>
      </c>
      <c r="AH57" s="17">
        <f t="shared" si="2"/>
        <v>0.5</v>
      </c>
      <c r="AI57" s="116">
        <v>1</v>
      </c>
      <c r="AJ57" s="111">
        <v>1</v>
      </c>
      <c r="AK57" s="18">
        <f t="shared" si="5"/>
        <v>0.5</v>
      </c>
    </row>
    <row r="58" spans="1:37" ht="85.5" customHeight="1">
      <c r="A58" s="218"/>
      <c r="B58" s="218"/>
      <c r="C58" s="218"/>
      <c r="D58" s="310" t="s">
        <v>123</v>
      </c>
      <c r="E58" s="185"/>
      <c r="F58" s="306" t="s">
        <v>236</v>
      </c>
      <c r="G58" s="302">
        <v>0.01</v>
      </c>
      <c r="H58" s="355" t="s">
        <v>108</v>
      </c>
      <c r="I58" s="212" t="s">
        <v>492</v>
      </c>
      <c r="J58" s="325" t="s">
        <v>57</v>
      </c>
      <c r="K58" s="155" t="s">
        <v>491</v>
      </c>
      <c r="L58" s="155" t="s">
        <v>566</v>
      </c>
      <c r="M58" s="155" t="s">
        <v>588</v>
      </c>
      <c r="N58" s="226">
        <v>1</v>
      </c>
      <c r="O58" s="322">
        <v>1</v>
      </c>
      <c r="P58" s="322">
        <f>O58/N58</f>
        <v>1</v>
      </c>
      <c r="Q58" s="226">
        <v>1</v>
      </c>
      <c r="R58" s="226">
        <v>1</v>
      </c>
      <c r="S58" s="254">
        <v>1</v>
      </c>
      <c r="T58" s="226">
        <v>1</v>
      </c>
      <c r="U58" s="226">
        <v>1</v>
      </c>
      <c r="V58" s="228" t="s">
        <v>58</v>
      </c>
      <c r="W58" s="20" t="s">
        <v>132</v>
      </c>
      <c r="X58" s="20" t="s">
        <v>427</v>
      </c>
      <c r="Y58" s="20" t="s">
        <v>428</v>
      </c>
      <c r="Z58" s="53">
        <f>34*G58</f>
        <v>0.34</v>
      </c>
      <c r="AA58" s="463" t="s">
        <v>306</v>
      </c>
      <c r="AB58" s="112" t="s">
        <v>213</v>
      </c>
      <c r="AC58" s="17">
        <f t="shared" si="10"/>
        <v>0.33333333333333331</v>
      </c>
      <c r="AD58" s="116">
        <v>1</v>
      </c>
      <c r="AE58" s="111">
        <v>1</v>
      </c>
      <c r="AF58" s="18">
        <f t="shared" si="11"/>
        <v>0.33333333333333331</v>
      </c>
      <c r="AG58" s="112" t="s">
        <v>213</v>
      </c>
      <c r="AH58" s="17">
        <f t="shared" si="2"/>
        <v>0.33333333333333331</v>
      </c>
      <c r="AI58" s="116">
        <v>1</v>
      </c>
      <c r="AJ58" s="111">
        <v>1</v>
      </c>
      <c r="AK58" s="18">
        <f t="shared" si="5"/>
        <v>0.33333333333333331</v>
      </c>
    </row>
    <row r="59" spans="1:37" ht="43.5" customHeight="1">
      <c r="A59" s="218"/>
      <c r="B59" s="218"/>
      <c r="C59" s="218"/>
      <c r="D59" s="310"/>
      <c r="E59" s="185"/>
      <c r="F59" s="306"/>
      <c r="G59" s="302"/>
      <c r="H59" s="355"/>
      <c r="I59" s="213"/>
      <c r="J59" s="380"/>
      <c r="K59" s="241"/>
      <c r="L59" s="241"/>
      <c r="M59" s="241"/>
      <c r="N59" s="226"/>
      <c r="O59" s="324"/>
      <c r="P59" s="324"/>
      <c r="Q59" s="226"/>
      <c r="R59" s="226"/>
      <c r="S59" s="254"/>
      <c r="T59" s="226"/>
      <c r="U59" s="226"/>
      <c r="V59" s="228"/>
      <c r="W59" s="20" t="s">
        <v>133</v>
      </c>
      <c r="X59" s="20" t="s">
        <v>429</v>
      </c>
      <c r="Y59" s="20" t="s">
        <v>430</v>
      </c>
      <c r="Z59" s="53">
        <f>33*G58</f>
        <v>0.33</v>
      </c>
      <c r="AA59" s="468"/>
      <c r="AB59" s="112" t="s">
        <v>213</v>
      </c>
      <c r="AC59" s="17">
        <f t="shared" si="10"/>
        <v>0.33333333333333331</v>
      </c>
      <c r="AD59" s="116">
        <v>1</v>
      </c>
      <c r="AE59" s="111">
        <v>1</v>
      </c>
      <c r="AF59" s="18">
        <f t="shared" si="11"/>
        <v>0.33333333333333331</v>
      </c>
      <c r="AG59" s="112" t="s">
        <v>213</v>
      </c>
      <c r="AH59" s="17">
        <f t="shared" si="2"/>
        <v>0.33333333333333331</v>
      </c>
      <c r="AI59" s="116">
        <v>1</v>
      </c>
      <c r="AJ59" s="111">
        <v>1</v>
      </c>
      <c r="AK59" s="18">
        <f t="shared" si="5"/>
        <v>0.33333333333333331</v>
      </c>
    </row>
    <row r="60" spans="1:37" ht="39.75" customHeight="1">
      <c r="A60" s="218"/>
      <c r="B60" s="218"/>
      <c r="C60" s="218"/>
      <c r="D60" s="310"/>
      <c r="E60" s="185"/>
      <c r="F60" s="306"/>
      <c r="G60" s="302"/>
      <c r="H60" s="228"/>
      <c r="I60" s="214"/>
      <c r="J60" s="326"/>
      <c r="K60" s="156"/>
      <c r="L60" s="156"/>
      <c r="M60" s="156"/>
      <c r="N60" s="228"/>
      <c r="O60" s="323"/>
      <c r="P60" s="323"/>
      <c r="Q60" s="228"/>
      <c r="R60" s="228"/>
      <c r="S60" s="255"/>
      <c r="T60" s="228"/>
      <c r="U60" s="228"/>
      <c r="V60" s="228"/>
      <c r="W60" s="20" t="s">
        <v>114</v>
      </c>
      <c r="X60" s="20" t="s">
        <v>431</v>
      </c>
      <c r="Y60" s="20" t="s">
        <v>432</v>
      </c>
      <c r="Z60" s="53">
        <f>33*G58</f>
        <v>0.33</v>
      </c>
      <c r="AA60" s="464"/>
      <c r="AB60" s="112" t="s">
        <v>213</v>
      </c>
      <c r="AC60" s="17">
        <f t="shared" si="10"/>
        <v>0.33333333333333331</v>
      </c>
      <c r="AD60" s="116">
        <v>1</v>
      </c>
      <c r="AE60" s="111">
        <v>1</v>
      </c>
      <c r="AF60" s="18">
        <f t="shared" si="11"/>
        <v>0.33333333333333331</v>
      </c>
      <c r="AG60" s="112" t="s">
        <v>213</v>
      </c>
      <c r="AH60" s="17">
        <f t="shared" si="2"/>
        <v>0.33333333333333331</v>
      </c>
      <c r="AI60" s="116">
        <v>1</v>
      </c>
      <c r="AJ60" s="111">
        <v>1</v>
      </c>
      <c r="AK60" s="18">
        <f t="shared" si="5"/>
        <v>0.33333333333333331</v>
      </c>
    </row>
    <row r="61" spans="1:37" ht="163.5" customHeight="1">
      <c r="A61" s="218"/>
      <c r="B61" s="218"/>
      <c r="C61" s="218"/>
      <c r="D61" s="310"/>
      <c r="E61" s="185"/>
      <c r="F61" s="296" t="s">
        <v>241</v>
      </c>
      <c r="G61" s="278">
        <v>0.03</v>
      </c>
      <c r="H61" s="307" t="s">
        <v>328</v>
      </c>
      <c r="I61" s="215" t="s">
        <v>433</v>
      </c>
      <c r="J61" s="450" t="s">
        <v>14</v>
      </c>
      <c r="K61" s="209" t="s">
        <v>515</v>
      </c>
      <c r="L61" s="242" t="s">
        <v>516</v>
      </c>
      <c r="M61" s="247" t="s">
        <v>587</v>
      </c>
      <c r="N61" s="337"/>
      <c r="O61" s="338"/>
      <c r="P61" s="256"/>
      <c r="Q61" s="354" t="s">
        <v>32</v>
      </c>
      <c r="R61" s="354">
        <v>0.24</v>
      </c>
      <c r="S61" s="254">
        <v>1</v>
      </c>
      <c r="T61" s="337"/>
      <c r="U61" s="337">
        <v>0.8</v>
      </c>
      <c r="V61" s="231" t="s">
        <v>64</v>
      </c>
      <c r="W61" s="28" t="s">
        <v>149</v>
      </c>
      <c r="X61" s="28" t="s">
        <v>434</v>
      </c>
      <c r="Y61" s="28" t="s">
        <v>435</v>
      </c>
      <c r="Z61" s="54">
        <f>50*G61</f>
        <v>1.5</v>
      </c>
      <c r="AA61" s="465" t="s">
        <v>307</v>
      </c>
      <c r="AB61" s="10"/>
      <c r="AC61" s="17" t="e">
        <f t="shared" si="10"/>
        <v>#DIV/0!</v>
      </c>
      <c r="AD61" s="15"/>
      <c r="AE61" s="111"/>
      <c r="AF61" s="18" t="e">
        <f t="shared" si="11"/>
        <v>#DIV/0!</v>
      </c>
      <c r="AG61" s="112" t="s">
        <v>214</v>
      </c>
      <c r="AH61" s="17">
        <f t="shared" si="2"/>
        <v>0.5</v>
      </c>
      <c r="AI61" s="116">
        <v>1</v>
      </c>
      <c r="AJ61" s="111">
        <v>1</v>
      </c>
      <c r="AK61" s="18">
        <f t="shared" si="5"/>
        <v>0.5</v>
      </c>
    </row>
    <row r="62" spans="1:37" ht="120.75" customHeight="1">
      <c r="A62" s="218"/>
      <c r="B62" s="218"/>
      <c r="C62" s="218"/>
      <c r="D62" s="310"/>
      <c r="E62" s="185"/>
      <c r="F62" s="296"/>
      <c r="G62" s="278"/>
      <c r="H62" s="307"/>
      <c r="I62" s="216"/>
      <c r="J62" s="452"/>
      <c r="K62" s="211"/>
      <c r="L62" s="243"/>
      <c r="M62" s="248"/>
      <c r="N62" s="337"/>
      <c r="O62" s="340"/>
      <c r="P62" s="257"/>
      <c r="Q62" s="354"/>
      <c r="R62" s="354"/>
      <c r="S62" s="254"/>
      <c r="T62" s="337"/>
      <c r="U62" s="231"/>
      <c r="V62" s="231"/>
      <c r="W62" s="28" t="s">
        <v>77</v>
      </c>
      <c r="X62" s="28" t="s">
        <v>436</v>
      </c>
      <c r="Y62" s="28" t="s">
        <v>437</v>
      </c>
      <c r="Z62" s="54">
        <f>50*G61</f>
        <v>1.5</v>
      </c>
      <c r="AA62" s="466"/>
      <c r="AB62" s="10"/>
      <c r="AC62" s="17" t="e">
        <f t="shared" si="10"/>
        <v>#DIV/0!</v>
      </c>
      <c r="AD62" s="15"/>
      <c r="AE62" s="111"/>
      <c r="AF62" s="18" t="e">
        <f t="shared" si="11"/>
        <v>#DIV/0!</v>
      </c>
      <c r="AG62" s="112" t="s">
        <v>214</v>
      </c>
      <c r="AH62" s="17">
        <f t="shared" si="2"/>
        <v>0.5</v>
      </c>
      <c r="AI62" s="116">
        <v>1</v>
      </c>
      <c r="AJ62" s="111">
        <v>1</v>
      </c>
      <c r="AK62" s="18">
        <f t="shared" si="5"/>
        <v>0.5</v>
      </c>
    </row>
    <row r="63" spans="1:37" ht="56.25" customHeight="1">
      <c r="A63" s="218"/>
      <c r="B63" s="218"/>
      <c r="C63" s="218"/>
      <c r="D63" s="218" t="s">
        <v>123</v>
      </c>
      <c r="E63" s="185"/>
      <c r="F63" s="296" t="s">
        <v>285</v>
      </c>
      <c r="G63" s="333">
        <v>0.01</v>
      </c>
      <c r="H63" s="297" t="s">
        <v>254</v>
      </c>
      <c r="I63" s="249" t="s">
        <v>532</v>
      </c>
      <c r="J63" s="269" t="s">
        <v>286</v>
      </c>
      <c r="K63" s="249" t="s">
        <v>493</v>
      </c>
      <c r="L63" s="244" t="s">
        <v>540</v>
      </c>
      <c r="M63" s="244"/>
      <c r="N63" s="459"/>
      <c r="O63" s="275"/>
      <c r="P63" s="237"/>
      <c r="Q63" s="252">
        <v>1</v>
      </c>
      <c r="R63" s="252">
        <v>0</v>
      </c>
      <c r="S63" s="483">
        <v>0</v>
      </c>
      <c r="T63" s="459"/>
      <c r="U63" s="459"/>
      <c r="V63" s="231" t="s">
        <v>255</v>
      </c>
      <c r="W63" s="28" t="s">
        <v>333</v>
      </c>
      <c r="X63" s="28" t="s">
        <v>532</v>
      </c>
      <c r="Y63" s="28"/>
      <c r="Z63" s="54">
        <f>50*G63</f>
        <v>0.5</v>
      </c>
      <c r="AA63" s="465" t="s">
        <v>373</v>
      </c>
      <c r="AB63" s="10"/>
      <c r="AC63" s="17" t="e">
        <f t="shared" si="10"/>
        <v>#DIV/0!</v>
      </c>
      <c r="AD63" s="15"/>
      <c r="AE63" s="111"/>
      <c r="AF63" s="18" t="e">
        <f t="shared" si="11"/>
        <v>#DIV/0!</v>
      </c>
      <c r="AG63" s="112" t="s">
        <v>215</v>
      </c>
      <c r="AH63" s="17">
        <f t="shared" si="2"/>
        <v>0.5</v>
      </c>
      <c r="AI63" s="116">
        <v>0</v>
      </c>
      <c r="AJ63" s="111">
        <v>1</v>
      </c>
      <c r="AK63" s="18">
        <f t="shared" si="5"/>
        <v>0</v>
      </c>
    </row>
    <row r="64" spans="1:37" ht="29.25" customHeight="1">
      <c r="A64" s="218"/>
      <c r="B64" s="218"/>
      <c r="C64" s="218"/>
      <c r="D64" s="218"/>
      <c r="E64" s="185"/>
      <c r="F64" s="296"/>
      <c r="G64" s="335"/>
      <c r="H64" s="297"/>
      <c r="I64" s="251"/>
      <c r="J64" s="270"/>
      <c r="K64" s="251"/>
      <c r="L64" s="245"/>
      <c r="M64" s="245"/>
      <c r="N64" s="460"/>
      <c r="O64" s="276"/>
      <c r="P64" s="239"/>
      <c r="Q64" s="228"/>
      <c r="R64" s="228"/>
      <c r="S64" s="484"/>
      <c r="T64" s="460"/>
      <c r="U64" s="460"/>
      <c r="V64" s="231"/>
      <c r="W64" s="28" t="s">
        <v>257</v>
      </c>
      <c r="X64" s="28" t="s">
        <v>532</v>
      </c>
      <c r="Y64" s="28"/>
      <c r="Z64" s="54">
        <f>50*G63</f>
        <v>0.5</v>
      </c>
      <c r="AA64" s="466"/>
      <c r="AB64" s="10"/>
      <c r="AC64" s="17" t="e">
        <f t="shared" si="10"/>
        <v>#DIV/0!</v>
      </c>
      <c r="AD64" s="15"/>
      <c r="AE64" s="111"/>
      <c r="AF64" s="18" t="e">
        <f t="shared" si="11"/>
        <v>#DIV/0!</v>
      </c>
      <c r="AG64" s="112" t="s">
        <v>215</v>
      </c>
      <c r="AH64" s="17">
        <f t="shared" si="2"/>
        <v>0.5</v>
      </c>
      <c r="AI64" s="116">
        <v>0</v>
      </c>
      <c r="AJ64" s="111">
        <v>1</v>
      </c>
      <c r="AK64" s="18">
        <f t="shared" si="5"/>
        <v>0</v>
      </c>
    </row>
    <row r="65" spans="1:37" ht="38.25" customHeight="1">
      <c r="A65" s="218"/>
      <c r="B65" s="218"/>
      <c r="C65" s="218"/>
      <c r="D65" s="218"/>
      <c r="E65" s="185" t="s">
        <v>59</v>
      </c>
      <c r="F65" s="296" t="s">
        <v>259</v>
      </c>
      <c r="G65" s="333">
        <v>0.02</v>
      </c>
      <c r="H65" s="297">
        <v>0</v>
      </c>
      <c r="I65" s="249" t="s">
        <v>494</v>
      </c>
      <c r="J65" s="269" t="s">
        <v>258</v>
      </c>
      <c r="K65" s="498" t="s">
        <v>496</v>
      </c>
      <c r="L65" s="249">
        <v>3</v>
      </c>
      <c r="M65" s="249">
        <v>3</v>
      </c>
      <c r="N65" s="252">
        <v>3</v>
      </c>
      <c r="O65" s="237">
        <v>3</v>
      </c>
      <c r="P65" s="162">
        <f>O65/N65</f>
        <v>1</v>
      </c>
      <c r="Q65" s="252">
        <v>3</v>
      </c>
      <c r="R65" s="252">
        <v>3</v>
      </c>
      <c r="S65" s="485">
        <v>1</v>
      </c>
      <c r="T65" s="252">
        <v>3</v>
      </c>
      <c r="U65" s="252">
        <v>3</v>
      </c>
      <c r="V65" s="228" t="s">
        <v>58</v>
      </c>
      <c r="W65" s="28" t="s">
        <v>334</v>
      </c>
      <c r="X65" s="28"/>
      <c r="Y65" s="28"/>
      <c r="Z65" s="54">
        <f>25*G65</f>
        <v>0.5</v>
      </c>
      <c r="AA65" s="448" t="s">
        <v>495</v>
      </c>
      <c r="AB65" s="10" t="s">
        <v>216</v>
      </c>
      <c r="AC65" s="17">
        <f t="shared" si="10"/>
        <v>0.33333333333333331</v>
      </c>
      <c r="AD65" s="116">
        <v>1</v>
      </c>
      <c r="AE65" s="111">
        <v>1</v>
      </c>
      <c r="AF65" s="18">
        <f t="shared" si="11"/>
        <v>0.33333333333333331</v>
      </c>
      <c r="AG65" s="10" t="s">
        <v>216</v>
      </c>
      <c r="AH65" s="17">
        <f t="shared" si="2"/>
        <v>0.33333333333333331</v>
      </c>
      <c r="AI65" s="116">
        <v>1</v>
      </c>
      <c r="AJ65" s="111">
        <v>1</v>
      </c>
      <c r="AK65" s="18">
        <f t="shared" si="5"/>
        <v>0.33333333333333331</v>
      </c>
    </row>
    <row r="66" spans="1:37" ht="39" customHeight="1">
      <c r="A66" s="218"/>
      <c r="B66" s="218"/>
      <c r="C66" s="218"/>
      <c r="D66" s="218"/>
      <c r="E66" s="185"/>
      <c r="F66" s="296"/>
      <c r="G66" s="334"/>
      <c r="H66" s="297"/>
      <c r="I66" s="250"/>
      <c r="J66" s="412"/>
      <c r="K66" s="499"/>
      <c r="L66" s="250"/>
      <c r="M66" s="250"/>
      <c r="N66" s="252"/>
      <c r="O66" s="238"/>
      <c r="P66" s="163"/>
      <c r="Q66" s="252"/>
      <c r="R66" s="252"/>
      <c r="S66" s="485"/>
      <c r="T66" s="252"/>
      <c r="U66" s="252"/>
      <c r="V66" s="228"/>
      <c r="W66" s="28" t="s">
        <v>260</v>
      </c>
      <c r="X66" s="28"/>
      <c r="Y66" s="28"/>
      <c r="Z66" s="54">
        <f>50*G65</f>
        <v>1</v>
      </c>
      <c r="AA66" s="467"/>
      <c r="AB66" s="10" t="s">
        <v>216</v>
      </c>
      <c r="AC66" s="17">
        <f t="shared" si="10"/>
        <v>0.33333333333333331</v>
      </c>
      <c r="AD66" s="116">
        <v>1</v>
      </c>
      <c r="AE66" s="111">
        <v>1</v>
      </c>
      <c r="AF66" s="18">
        <f t="shared" si="11"/>
        <v>0.33333333333333331</v>
      </c>
      <c r="AG66" s="10" t="s">
        <v>216</v>
      </c>
      <c r="AH66" s="17">
        <f t="shared" si="2"/>
        <v>0.33333333333333331</v>
      </c>
      <c r="AI66" s="116">
        <v>1</v>
      </c>
      <c r="AJ66" s="111">
        <v>1</v>
      </c>
      <c r="AK66" s="18">
        <f t="shared" si="5"/>
        <v>0.33333333333333331</v>
      </c>
    </row>
    <row r="67" spans="1:37" ht="18.75" customHeight="1">
      <c r="A67" s="218"/>
      <c r="B67" s="218"/>
      <c r="C67" s="218"/>
      <c r="D67" s="218"/>
      <c r="E67" s="185"/>
      <c r="F67" s="296"/>
      <c r="G67" s="335"/>
      <c r="H67" s="297"/>
      <c r="I67" s="251"/>
      <c r="J67" s="270"/>
      <c r="K67" s="500"/>
      <c r="L67" s="251"/>
      <c r="M67" s="251"/>
      <c r="N67" s="228"/>
      <c r="O67" s="239"/>
      <c r="P67" s="164"/>
      <c r="Q67" s="228"/>
      <c r="R67" s="228"/>
      <c r="S67" s="253"/>
      <c r="T67" s="228"/>
      <c r="U67" s="228"/>
      <c r="V67" s="228"/>
      <c r="W67" s="28" t="s">
        <v>261</v>
      </c>
      <c r="X67" s="28"/>
      <c r="Y67" s="28"/>
      <c r="Z67" s="54">
        <f>25*G65</f>
        <v>0.5</v>
      </c>
      <c r="AA67" s="449"/>
      <c r="AB67" s="10" t="s">
        <v>216</v>
      </c>
      <c r="AC67" s="17">
        <f t="shared" si="10"/>
        <v>0.33333333333333331</v>
      </c>
      <c r="AD67" s="116">
        <v>1</v>
      </c>
      <c r="AE67" s="111">
        <v>1</v>
      </c>
      <c r="AF67" s="18">
        <f t="shared" si="11"/>
        <v>0.33333333333333331</v>
      </c>
      <c r="AG67" s="10" t="s">
        <v>216</v>
      </c>
      <c r="AH67" s="17">
        <f t="shared" si="2"/>
        <v>0.33333333333333331</v>
      </c>
      <c r="AI67" s="116">
        <v>1</v>
      </c>
      <c r="AJ67" s="111">
        <v>1</v>
      </c>
      <c r="AK67" s="18">
        <f t="shared" si="5"/>
        <v>0.33333333333333331</v>
      </c>
    </row>
    <row r="68" spans="1:37" ht="84" customHeight="1">
      <c r="A68" s="218"/>
      <c r="B68" s="218"/>
      <c r="C68" s="218"/>
      <c r="D68" s="218"/>
      <c r="E68" s="185"/>
      <c r="F68" s="306" t="s">
        <v>262</v>
      </c>
      <c r="G68" s="333">
        <v>0.01</v>
      </c>
      <c r="H68" s="297">
        <v>0</v>
      </c>
      <c r="I68" s="249" t="s">
        <v>403</v>
      </c>
      <c r="J68" s="269" t="s">
        <v>330</v>
      </c>
      <c r="K68" s="249" t="s">
        <v>511</v>
      </c>
      <c r="L68" s="265" t="s">
        <v>512</v>
      </c>
      <c r="M68" s="265" t="s">
        <v>603</v>
      </c>
      <c r="N68" s="286">
        <v>0.05</v>
      </c>
      <c r="O68" s="281">
        <v>0.05</v>
      </c>
      <c r="P68" s="281">
        <f>O68/N68</f>
        <v>1</v>
      </c>
      <c r="Q68" s="286">
        <v>0.1</v>
      </c>
      <c r="R68" s="469">
        <f>1854/4600</f>
        <v>0.40304347826086956</v>
      </c>
      <c r="S68" s="470">
        <v>1</v>
      </c>
      <c r="T68" s="286">
        <v>0.1</v>
      </c>
      <c r="U68" s="286">
        <v>0.15</v>
      </c>
      <c r="V68" s="231" t="s">
        <v>62</v>
      </c>
      <c r="W68" s="28" t="s">
        <v>263</v>
      </c>
      <c r="X68" s="28" t="s">
        <v>399</v>
      </c>
      <c r="Y68" s="68" t="s">
        <v>401</v>
      </c>
      <c r="Z68" s="54">
        <f>50*G68</f>
        <v>0.5</v>
      </c>
      <c r="AA68" s="465" t="s">
        <v>571</v>
      </c>
      <c r="AB68" s="10" t="s">
        <v>217</v>
      </c>
      <c r="AC68" s="17">
        <f t="shared" si="10"/>
        <v>0.5</v>
      </c>
      <c r="AD68" s="116">
        <v>1</v>
      </c>
      <c r="AE68" s="111">
        <v>1</v>
      </c>
      <c r="AF68" s="18">
        <f t="shared" si="11"/>
        <v>0.5</v>
      </c>
      <c r="AG68" s="10" t="s">
        <v>217</v>
      </c>
      <c r="AH68" s="17">
        <f t="shared" si="2"/>
        <v>0.5</v>
      </c>
      <c r="AI68" s="116">
        <v>1</v>
      </c>
      <c r="AJ68" s="111">
        <v>1</v>
      </c>
      <c r="AK68" s="18">
        <f t="shared" si="5"/>
        <v>0.5</v>
      </c>
    </row>
    <row r="69" spans="1:37" ht="80.25" customHeight="1">
      <c r="A69" s="218"/>
      <c r="B69" s="219"/>
      <c r="C69" s="219"/>
      <c r="D69" s="219"/>
      <c r="E69" s="185"/>
      <c r="F69" s="306"/>
      <c r="G69" s="335"/>
      <c r="H69" s="297"/>
      <c r="I69" s="251"/>
      <c r="J69" s="270"/>
      <c r="K69" s="251"/>
      <c r="L69" s="266"/>
      <c r="M69" s="266"/>
      <c r="N69" s="286"/>
      <c r="O69" s="283"/>
      <c r="P69" s="283"/>
      <c r="Q69" s="286"/>
      <c r="R69" s="469"/>
      <c r="S69" s="470"/>
      <c r="T69" s="286"/>
      <c r="U69" s="286"/>
      <c r="V69" s="231"/>
      <c r="W69" s="28" t="s">
        <v>264</v>
      </c>
      <c r="X69" s="28" t="s">
        <v>400</v>
      </c>
      <c r="Y69" s="68" t="s">
        <v>402</v>
      </c>
      <c r="Z69" s="54">
        <f>50*G68</f>
        <v>0.5</v>
      </c>
      <c r="AA69" s="466"/>
      <c r="AB69" s="10" t="s">
        <v>217</v>
      </c>
      <c r="AC69" s="17">
        <f t="shared" si="10"/>
        <v>0.5</v>
      </c>
      <c r="AD69" s="116">
        <v>1</v>
      </c>
      <c r="AE69" s="111">
        <v>1</v>
      </c>
      <c r="AF69" s="18">
        <f t="shared" si="11"/>
        <v>0.5</v>
      </c>
      <c r="AG69" s="10" t="s">
        <v>217</v>
      </c>
      <c r="AH69" s="17">
        <f t="shared" si="2"/>
        <v>0.5</v>
      </c>
      <c r="AI69" s="116">
        <v>1</v>
      </c>
      <c r="AJ69" s="111">
        <v>1</v>
      </c>
      <c r="AK69" s="18">
        <f t="shared" si="5"/>
        <v>0.5</v>
      </c>
    </row>
    <row r="70" spans="1:37" s="12" customFormat="1" ht="75.75" customHeight="1">
      <c r="A70" s="218" t="s">
        <v>40</v>
      </c>
      <c r="B70" s="310" t="s">
        <v>42</v>
      </c>
      <c r="C70" s="310" t="s">
        <v>48</v>
      </c>
      <c r="D70" s="310" t="s">
        <v>113</v>
      </c>
      <c r="E70" s="185"/>
      <c r="F70" s="277" t="s">
        <v>295</v>
      </c>
      <c r="G70" s="302">
        <v>0.02</v>
      </c>
      <c r="H70" s="252" t="s">
        <v>276</v>
      </c>
      <c r="I70" s="237" t="s">
        <v>344</v>
      </c>
      <c r="J70" s="291" t="s">
        <v>34</v>
      </c>
      <c r="K70" s="157" t="s">
        <v>349</v>
      </c>
      <c r="L70" s="246" t="s">
        <v>539</v>
      </c>
      <c r="M70" s="267" t="s">
        <v>604</v>
      </c>
      <c r="N70" s="240"/>
      <c r="O70" s="367"/>
      <c r="P70" s="461"/>
      <c r="Q70" s="240">
        <v>3</v>
      </c>
      <c r="R70" s="240">
        <v>3</v>
      </c>
      <c r="S70" s="471">
        <v>1</v>
      </c>
      <c r="T70" s="240"/>
      <c r="U70" s="240"/>
      <c r="V70" s="240" t="s">
        <v>58</v>
      </c>
      <c r="W70" s="21" t="s">
        <v>343</v>
      </c>
      <c r="X70" s="21" t="s">
        <v>346</v>
      </c>
      <c r="Y70" s="21" t="s">
        <v>347</v>
      </c>
      <c r="Z70" s="48">
        <f>70*G70</f>
        <v>1.4000000000000001</v>
      </c>
      <c r="AA70" s="486" t="s">
        <v>309</v>
      </c>
      <c r="AB70" s="10"/>
      <c r="AC70" s="17" t="e">
        <f t="shared" si="10"/>
        <v>#DIV/0!</v>
      </c>
      <c r="AD70" s="15"/>
      <c r="AE70" s="111"/>
      <c r="AF70" s="18" t="e">
        <f t="shared" si="11"/>
        <v>#DIV/0!</v>
      </c>
      <c r="AG70" s="10" t="s">
        <v>218</v>
      </c>
      <c r="AH70" s="17">
        <f t="shared" si="2"/>
        <v>0.5</v>
      </c>
      <c r="AI70" s="116">
        <v>1</v>
      </c>
      <c r="AJ70" s="111">
        <v>1</v>
      </c>
      <c r="AK70" s="18">
        <f t="shared" si="5"/>
        <v>0.5</v>
      </c>
    </row>
    <row r="71" spans="1:37" s="12" customFormat="1" ht="126.95" customHeight="1">
      <c r="A71" s="218"/>
      <c r="B71" s="310"/>
      <c r="C71" s="310"/>
      <c r="D71" s="310"/>
      <c r="E71" s="185"/>
      <c r="F71" s="277"/>
      <c r="G71" s="302"/>
      <c r="H71" s="252"/>
      <c r="I71" s="239"/>
      <c r="J71" s="293"/>
      <c r="K71" s="159"/>
      <c r="L71" s="197"/>
      <c r="M71" s="176"/>
      <c r="N71" s="240"/>
      <c r="O71" s="368"/>
      <c r="P71" s="462"/>
      <c r="Q71" s="240"/>
      <c r="R71" s="240"/>
      <c r="S71" s="471"/>
      <c r="T71" s="240"/>
      <c r="U71" s="240"/>
      <c r="V71" s="240"/>
      <c r="W71" s="25" t="s">
        <v>75</v>
      </c>
      <c r="X71" s="25" t="s">
        <v>345</v>
      </c>
      <c r="Y71" s="25" t="s">
        <v>348</v>
      </c>
      <c r="Z71" s="51">
        <f>30*G70</f>
        <v>0.6</v>
      </c>
      <c r="AA71" s="487"/>
      <c r="AB71" s="10"/>
      <c r="AC71" s="17" t="e">
        <f t="shared" si="10"/>
        <v>#DIV/0!</v>
      </c>
      <c r="AD71" s="15"/>
      <c r="AE71" s="111"/>
      <c r="AF71" s="18" t="e">
        <f t="shared" si="11"/>
        <v>#DIV/0!</v>
      </c>
      <c r="AG71" s="10" t="s">
        <v>218</v>
      </c>
      <c r="AH71" s="17">
        <f t="shared" si="2"/>
        <v>0.5</v>
      </c>
      <c r="AI71" s="116">
        <v>1</v>
      </c>
      <c r="AJ71" s="111">
        <v>1</v>
      </c>
      <c r="AK71" s="18">
        <f t="shared" si="5"/>
        <v>0.5</v>
      </c>
    </row>
    <row r="72" spans="1:37" ht="78.75" customHeight="1">
      <c r="A72" s="218"/>
      <c r="B72" s="310"/>
      <c r="C72" s="310"/>
      <c r="D72" s="310" t="s">
        <v>54</v>
      </c>
      <c r="E72" s="185"/>
      <c r="F72" s="308" t="s">
        <v>242</v>
      </c>
      <c r="G72" s="301">
        <v>0.04</v>
      </c>
      <c r="H72" s="354">
        <v>0.76</v>
      </c>
      <c r="I72" s="260" t="s">
        <v>416</v>
      </c>
      <c r="J72" s="325" t="s">
        <v>10</v>
      </c>
      <c r="K72" s="155" t="s">
        <v>513</v>
      </c>
      <c r="L72" s="155" t="s">
        <v>514</v>
      </c>
      <c r="M72" s="155"/>
      <c r="N72" s="225">
        <v>0.8</v>
      </c>
      <c r="O72" s="488">
        <f>(0.94+0.95+0.91+0.8+0.97+0.82+0.62+0.71+0.98+0.85+0.97+0.93+0.79+0.83+0.75+0.77+0.74+0.81+0.53+0.42)/20</f>
        <v>0.80449999999999999</v>
      </c>
      <c r="P72" s="490">
        <v>1</v>
      </c>
      <c r="Q72" s="225">
        <v>0.82</v>
      </c>
      <c r="R72" s="227">
        <v>0.83</v>
      </c>
      <c r="S72" s="402">
        <v>1</v>
      </c>
      <c r="T72" s="225">
        <v>0.86</v>
      </c>
      <c r="U72" s="225">
        <v>0.9</v>
      </c>
      <c r="V72" s="231" t="s">
        <v>58</v>
      </c>
      <c r="W72" s="28" t="s">
        <v>83</v>
      </c>
      <c r="X72" s="28" t="s">
        <v>417</v>
      </c>
      <c r="Y72" s="28" t="s">
        <v>419</v>
      </c>
      <c r="Z72" s="54">
        <f>80*G72</f>
        <v>3.2</v>
      </c>
      <c r="AA72" s="465" t="s">
        <v>310</v>
      </c>
      <c r="AB72" s="10" t="s">
        <v>561</v>
      </c>
      <c r="AC72" s="17">
        <f t="shared" si="10"/>
        <v>0.5</v>
      </c>
      <c r="AD72" s="116">
        <v>1</v>
      </c>
      <c r="AE72" s="111">
        <v>1</v>
      </c>
      <c r="AF72" s="18">
        <f t="shared" si="11"/>
        <v>0.5</v>
      </c>
      <c r="AG72" s="10" t="s">
        <v>561</v>
      </c>
      <c r="AH72" s="17">
        <f t="shared" si="2"/>
        <v>0.5</v>
      </c>
      <c r="AI72" s="116">
        <v>1</v>
      </c>
      <c r="AJ72" s="111">
        <v>1</v>
      </c>
      <c r="AK72" s="18">
        <f t="shared" si="5"/>
        <v>0.5</v>
      </c>
    </row>
    <row r="73" spans="1:37" ht="60.75" customHeight="1">
      <c r="A73" s="218"/>
      <c r="B73" s="310"/>
      <c r="C73" s="310"/>
      <c r="D73" s="310"/>
      <c r="E73" s="185"/>
      <c r="F73" s="308"/>
      <c r="G73" s="301"/>
      <c r="H73" s="354"/>
      <c r="I73" s="261"/>
      <c r="J73" s="326"/>
      <c r="K73" s="156"/>
      <c r="L73" s="156"/>
      <c r="M73" s="156"/>
      <c r="N73" s="225"/>
      <c r="O73" s="489"/>
      <c r="P73" s="491"/>
      <c r="Q73" s="225"/>
      <c r="R73" s="227"/>
      <c r="S73" s="402"/>
      <c r="T73" s="225"/>
      <c r="U73" s="225"/>
      <c r="V73" s="231"/>
      <c r="W73" s="29" t="s">
        <v>84</v>
      </c>
      <c r="X73" s="29" t="s">
        <v>418</v>
      </c>
      <c r="Y73" s="29" t="s">
        <v>420</v>
      </c>
      <c r="Z73" s="55">
        <f>20*G72</f>
        <v>0.8</v>
      </c>
      <c r="AA73" s="466"/>
      <c r="AB73" s="10" t="s">
        <v>561</v>
      </c>
      <c r="AC73" s="17">
        <f t="shared" si="10"/>
        <v>0.5</v>
      </c>
      <c r="AD73" s="116">
        <v>1</v>
      </c>
      <c r="AE73" s="111">
        <v>1</v>
      </c>
      <c r="AF73" s="18">
        <f t="shared" si="11"/>
        <v>0.5</v>
      </c>
      <c r="AG73" s="10" t="s">
        <v>561</v>
      </c>
      <c r="AH73" s="17">
        <f t="shared" si="2"/>
        <v>0.5</v>
      </c>
      <c r="AI73" s="116">
        <v>1</v>
      </c>
      <c r="AJ73" s="111">
        <v>1</v>
      </c>
      <c r="AK73" s="18">
        <f t="shared" si="5"/>
        <v>0.5</v>
      </c>
    </row>
    <row r="74" spans="1:37" ht="35.25" customHeight="1">
      <c r="A74" s="218"/>
      <c r="B74" s="310"/>
      <c r="C74" s="310"/>
      <c r="D74" s="310"/>
      <c r="E74" s="185"/>
      <c r="F74" s="296" t="s">
        <v>265</v>
      </c>
      <c r="G74" s="301">
        <v>0.01</v>
      </c>
      <c r="H74" s="361">
        <v>970000000</v>
      </c>
      <c r="I74" s="262" t="s">
        <v>421</v>
      </c>
      <c r="J74" s="345" t="s">
        <v>11</v>
      </c>
      <c r="K74" s="160" t="s">
        <v>422</v>
      </c>
      <c r="L74" s="201" t="s">
        <v>537</v>
      </c>
      <c r="M74" s="217" t="s">
        <v>605</v>
      </c>
      <c r="N74" s="268"/>
      <c r="O74" s="338">
        <v>1</v>
      </c>
      <c r="P74" s="204"/>
      <c r="Q74" s="472">
        <v>1200000</v>
      </c>
      <c r="R74" s="315">
        <f>978621292/1200000000</f>
        <v>0.81551774333333338</v>
      </c>
      <c r="S74" s="492">
        <f>+R74</f>
        <v>0.81551774333333338</v>
      </c>
      <c r="T74" s="473"/>
      <c r="U74" s="472">
        <v>2600000</v>
      </c>
      <c r="V74" s="231" t="s">
        <v>62</v>
      </c>
      <c r="W74" s="29" t="s">
        <v>280</v>
      </c>
      <c r="X74" s="29" t="s">
        <v>423</v>
      </c>
      <c r="Y74" s="29" t="s">
        <v>424</v>
      </c>
      <c r="Z74" s="55">
        <f>50*G74</f>
        <v>0.5</v>
      </c>
      <c r="AA74" s="465" t="s">
        <v>310</v>
      </c>
      <c r="AB74" s="10"/>
      <c r="AC74" s="17" t="e">
        <f t="shared" si="10"/>
        <v>#DIV/0!</v>
      </c>
      <c r="AD74" s="15"/>
      <c r="AE74" s="111"/>
      <c r="AF74" s="18" t="e">
        <f t="shared" si="11"/>
        <v>#DIV/0!</v>
      </c>
      <c r="AG74" s="10" t="s">
        <v>562</v>
      </c>
      <c r="AH74" s="17">
        <f t="shared" si="2"/>
        <v>0.5</v>
      </c>
      <c r="AI74" s="116">
        <v>1</v>
      </c>
      <c r="AJ74" s="111">
        <v>1</v>
      </c>
      <c r="AK74" s="18">
        <f t="shared" si="5"/>
        <v>0.5</v>
      </c>
    </row>
    <row r="75" spans="1:37" ht="66.75" customHeight="1">
      <c r="A75" s="218"/>
      <c r="B75" s="310"/>
      <c r="C75" s="310"/>
      <c r="D75" s="310"/>
      <c r="E75" s="185"/>
      <c r="F75" s="296"/>
      <c r="G75" s="301"/>
      <c r="H75" s="362"/>
      <c r="I75" s="263"/>
      <c r="J75" s="347"/>
      <c r="K75" s="161"/>
      <c r="L75" s="203"/>
      <c r="M75" s="219"/>
      <c r="N75" s="268"/>
      <c r="O75" s="273"/>
      <c r="P75" s="205"/>
      <c r="Q75" s="472"/>
      <c r="R75" s="315"/>
      <c r="S75" s="492"/>
      <c r="T75" s="473"/>
      <c r="U75" s="472"/>
      <c r="V75" s="231"/>
      <c r="W75" s="29" t="s">
        <v>85</v>
      </c>
      <c r="X75" s="29" t="s">
        <v>426</v>
      </c>
      <c r="Y75" s="29" t="s">
        <v>425</v>
      </c>
      <c r="Z75" s="55">
        <f>50*G74</f>
        <v>0.5</v>
      </c>
      <c r="AA75" s="466"/>
      <c r="AB75" s="10"/>
      <c r="AC75" s="17" t="e">
        <f t="shared" si="10"/>
        <v>#DIV/0!</v>
      </c>
      <c r="AD75" s="15"/>
      <c r="AE75" s="111"/>
      <c r="AF75" s="18" t="e">
        <f t="shared" si="11"/>
        <v>#DIV/0!</v>
      </c>
      <c r="AG75" s="10" t="s">
        <v>562</v>
      </c>
      <c r="AH75" s="17">
        <f t="shared" si="2"/>
        <v>0.5</v>
      </c>
      <c r="AI75" s="116">
        <v>1</v>
      </c>
      <c r="AJ75" s="111">
        <v>1</v>
      </c>
      <c r="AK75" s="18">
        <f t="shared" si="5"/>
        <v>0.5</v>
      </c>
    </row>
    <row r="76" spans="1:37" ht="83.25" customHeight="1">
      <c r="A76" s="218"/>
      <c r="B76" s="310"/>
      <c r="C76" s="310"/>
      <c r="D76" s="310" t="s">
        <v>113</v>
      </c>
      <c r="E76" s="185"/>
      <c r="F76" s="306" t="s">
        <v>288</v>
      </c>
      <c r="G76" s="302">
        <v>0.02</v>
      </c>
      <c r="H76" s="337">
        <v>0.9</v>
      </c>
      <c r="I76" s="256" t="s">
        <v>438</v>
      </c>
      <c r="J76" s="325" t="s">
        <v>63</v>
      </c>
      <c r="K76" s="160" t="s">
        <v>171</v>
      </c>
      <c r="L76" s="201"/>
      <c r="M76" s="217" t="s">
        <v>617</v>
      </c>
      <c r="N76" s="268"/>
      <c r="O76" s="271"/>
      <c r="P76" s="204"/>
      <c r="Q76" s="337">
        <v>0.2</v>
      </c>
      <c r="R76" s="374">
        <v>0.43366336633663366</v>
      </c>
      <c r="S76" s="402">
        <v>1</v>
      </c>
      <c r="T76" s="337">
        <v>0.2</v>
      </c>
      <c r="U76" s="337">
        <v>0.5</v>
      </c>
      <c r="V76" s="231" t="s">
        <v>100</v>
      </c>
      <c r="W76" s="29" t="s">
        <v>98</v>
      </c>
      <c r="X76" s="29" t="s">
        <v>441</v>
      </c>
      <c r="Y76" s="29" t="s">
        <v>442</v>
      </c>
      <c r="Z76" s="55">
        <f>40*G76</f>
        <v>0.8</v>
      </c>
      <c r="AA76" s="465" t="s">
        <v>311</v>
      </c>
      <c r="AB76" s="10"/>
      <c r="AC76" s="17" t="e">
        <f t="shared" si="10"/>
        <v>#DIV/0!</v>
      </c>
      <c r="AD76" s="15"/>
      <c r="AE76" s="111"/>
      <c r="AF76" s="18" t="e">
        <f t="shared" si="11"/>
        <v>#DIV/0!</v>
      </c>
      <c r="AG76" s="10" t="s">
        <v>563</v>
      </c>
      <c r="AH76" s="17">
        <f t="shared" ref="AH76:AH128" si="13">1/COUNTIF($AG$11:$AG$128,AG76)</f>
        <v>0.5</v>
      </c>
      <c r="AI76" s="116">
        <v>1</v>
      </c>
      <c r="AJ76" s="111">
        <v>1</v>
      </c>
      <c r="AK76" s="18">
        <f t="shared" si="5"/>
        <v>0.5</v>
      </c>
    </row>
    <row r="77" spans="1:37" ht="62.25" customHeight="1">
      <c r="A77" s="218"/>
      <c r="B77" s="310"/>
      <c r="C77" s="310"/>
      <c r="D77" s="310"/>
      <c r="E77" s="185"/>
      <c r="F77" s="306"/>
      <c r="G77" s="302"/>
      <c r="H77" s="337"/>
      <c r="I77" s="257"/>
      <c r="J77" s="326"/>
      <c r="K77" s="161"/>
      <c r="L77" s="203"/>
      <c r="M77" s="219"/>
      <c r="N77" s="268"/>
      <c r="O77" s="273"/>
      <c r="P77" s="205"/>
      <c r="Q77" s="337"/>
      <c r="R77" s="374"/>
      <c r="S77" s="402"/>
      <c r="T77" s="337"/>
      <c r="U77" s="337"/>
      <c r="V77" s="231"/>
      <c r="W77" s="29" t="s">
        <v>99</v>
      </c>
      <c r="X77" s="29" t="s">
        <v>439</v>
      </c>
      <c r="Y77" s="29" t="s">
        <v>440</v>
      </c>
      <c r="Z77" s="55">
        <f>60*G76</f>
        <v>1.2</v>
      </c>
      <c r="AA77" s="466"/>
      <c r="AB77" s="10"/>
      <c r="AC77" s="17" t="e">
        <f t="shared" si="10"/>
        <v>#DIV/0!</v>
      </c>
      <c r="AD77" s="15"/>
      <c r="AE77" s="111"/>
      <c r="AF77" s="18" t="e">
        <f t="shared" si="11"/>
        <v>#DIV/0!</v>
      </c>
      <c r="AG77" s="10" t="s">
        <v>563</v>
      </c>
      <c r="AH77" s="17">
        <f t="shared" si="13"/>
        <v>0.5</v>
      </c>
      <c r="AI77" s="116">
        <v>1</v>
      </c>
      <c r="AJ77" s="111">
        <v>1</v>
      </c>
      <c r="AK77" s="18">
        <f t="shared" si="5"/>
        <v>0.5</v>
      </c>
    </row>
    <row r="78" spans="1:37" ht="79.5" customHeight="1">
      <c r="A78" s="218"/>
      <c r="B78" s="310"/>
      <c r="C78" s="310"/>
      <c r="D78" s="311" t="s">
        <v>59</v>
      </c>
      <c r="E78" s="185"/>
      <c r="F78" s="306" t="s">
        <v>287</v>
      </c>
      <c r="G78" s="299">
        <v>0.02</v>
      </c>
      <c r="H78" s="297" t="s">
        <v>329</v>
      </c>
      <c r="I78" s="249"/>
      <c r="J78" s="269" t="s">
        <v>138</v>
      </c>
      <c r="K78" s="249" t="s">
        <v>497</v>
      </c>
      <c r="L78" s="244"/>
      <c r="M78" s="244"/>
      <c r="N78" s="395"/>
      <c r="O78" s="312"/>
      <c r="P78" s="312"/>
      <c r="Q78" s="395"/>
      <c r="R78" s="395"/>
      <c r="S78" s="395"/>
      <c r="T78" s="416">
        <v>1</v>
      </c>
      <c r="U78" s="416">
        <v>2</v>
      </c>
      <c r="V78" s="231" t="s">
        <v>58</v>
      </c>
      <c r="W78" s="28" t="s">
        <v>96</v>
      </c>
      <c r="X78" s="28"/>
      <c r="Y78" s="28"/>
      <c r="Z78" s="54">
        <f>20*G78</f>
        <v>0.4</v>
      </c>
      <c r="AA78" s="448" t="s">
        <v>312</v>
      </c>
      <c r="AB78" s="10"/>
      <c r="AC78" s="17" t="e">
        <f t="shared" si="10"/>
        <v>#DIV/0!</v>
      </c>
      <c r="AD78" s="15"/>
      <c r="AE78" s="111"/>
      <c r="AF78" s="18" t="e">
        <f t="shared" si="11"/>
        <v>#DIV/0!</v>
      </c>
      <c r="AG78" s="10"/>
      <c r="AH78" s="17" t="e">
        <f t="shared" si="13"/>
        <v>#DIV/0!</v>
      </c>
      <c r="AI78" s="15"/>
      <c r="AJ78" s="111"/>
      <c r="AK78" s="18" t="e">
        <f t="shared" si="5"/>
        <v>#DIV/0!</v>
      </c>
    </row>
    <row r="79" spans="1:37" ht="37.5">
      <c r="A79" s="218"/>
      <c r="B79" s="310"/>
      <c r="C79" s="310"/>
      <c r="D79" s="311"/>
      <c r="E79" s="185"/>
      <c r="F79" s="306"/>
      <c r="G79" s="299"/>
      <c r="H79" s="297"/>
      <c r="I79" s="250"/>
      <c r="J79" s="412"/>
      <c r="K79" s="250"/>
      <c r="L79" s="264"/>
      <c r="M79" s="264"/>
      <c r="N79" s="395"/>
      <c r="O79" s="313"/>
      <c r="P79" s="313"/>
      <c r="Q79" s="395"/>
      <c r="R79" s="395"/>
      <c r="S79" s="395"/>
      <c r="T79" s="416"/>
      <c r="U79" s="416"/>
      <c r="V79" s="231"/>
      <c r="W79" s="28" t="s">
        <v>140</v>
      </c>
      <c r="X79" s="28"/>
      <c r="Y79" s="28"/>
      <c r="Z79" s="54">
        <f>40*G78</f>
        <v>0.8</v>
      </c>
      <c r="AA79" s="467"/>
      <c r="AB79" s="10"/>
      <c r="AC79" s="17" t="e">
        <f t="shared" si="10"/>
        <v>#DIV/0!</v>
      </c>
      <c r="AD79" s="15"/>
      <c r="AE79" s="111"/>
      <c r="AF79" s="18" t="e">
        <f t="shared" si="11"/>
        <v>#DIV/0!</v>
      </c>
      <c r="AG79" s="10"/>
      <c r="AH79" s="17" t="e">
        <f t="shared" si="13"/>
        <v>#DIV/0!</v>
      </c>
      <c r="AI79" s="15"/>
      <c r="AJ79" s="111"/>
      <c r="AK79" s="18" t="e">
        <f t="shared" si="5"/>
        <v>#DIV/0!</v>
      </c>
    </row>
    <row r="80" spans="1:37" ht="18.75" customHeight="1">
      <c r="A80" s="218"/>
      <c r="B80" s="310"/>
      <c r="C80" s="310"/>
      <c r="D80" s="311"/>
      <c r="E80" s="185"/>
      <c r="F80" s="306"/>
      <c r="G80" s="299"/>
      <c r="H80" s="297"/>
      <c r="I80" s="250"/>
      <c r="J80" s="412"/>
      <c r="K80" s="250"/>
      <c r="L80" s="264"/>
      <c r="M80" s="264"/>
      <c r="N80" s="395"/>
      <c r="O80" s="313"/>
      <c r="P80" s="313"/>
      <c r="Q80" s="395"/>
      <c r="R80" s="395"/>
      <c r="S80" s="395"/>
      <c r="T80" s="416"/>
      <c r="U80" s="416"/>
      <c r="V80" s="231"/>
      <c r="W80" s="28" t="s">
        <v>139</v>
      </c>
      <c r="X80" s="28"/>
      <c r="Y80" s="28"/>
      <c r="Z80" s="54">
        <f>10*G78</f>
        <v>0.2</v>
      </c>
      <c r="AA80" s="467"/>
      <c r="AB80" s="10"/>
      <c r="AC80" s="17" t="e">
        <f t="shared" si="10"/>
        <v>#DIV/0!</v>
      </c>
      <c r="AD80" s="15"/>
      <c r="AE80" s="111"/>
      <c r="AF80" s="18" t="e">
        <f t="shared" si="11"/>
        <v>#DIV/0!</v>
      </c>
      <c r="AG80" s="10"/>
      <c r="AH80" s="17" t="e">
        <f t="shared" si="13"/>
        <v>#DIV/0!</v>
      </c>
      <c r="AI80" s="15"/>
      <c r="AJ80" s="111"/>
      <c r="AK80" s="18" t="e">
        <f t="shared" si="5"/>
        <v>#DIV/0!</v>
      </c>
    </row>
    <row r="81" spans="1:37" ht="18.75" customHeight="1">
      <c r="A81" s="218"/>
      <c r="B81" s="310"/>
      <c r="C81" s="310"/>
      <c r="D81" s="311"/>
      <c r="E81" s="185"/>
      <c r="F81" s="306"/>
      <c r="G81" s="299"/>
      <c r="H81" s="297"/>
      <c r="I81" s="251"/>
      <c r="J81" s="270"/>
      <c r="K81" s="251"/>
      <c r="L81" s="245"/>
      <c r="M81" s="245"/>
      <c r="N81" s="395"/>
      <c r="O81" s="314"/>
      <c r="P81" s="314"/>
      <c r="Q81" s="395"/>
      <c r="R81" s="395"/>
      <c r="S81" s="395"/>
      <c r="T81" s="416"/>
      <c r="U81" s="416"/>
      <c r="V81" s="231"/>
      <c r="W81" s="28" t="s">
        <v>97</v>
      </c>
      <c r="X81" s="28"/>
      <c r="Y81" s="28"/>
      <c r="Z81" s="54">
        <f>30*G78</f>
        <v>0.6</v>
      </c>
      <c r="AA81" s="449"/>
      <c r="AB81" s="10"/>
      <c r="AC81" s="17" t="e">
        <f t="shared" si="10"/>
        <v>#DIV/0!</v>
      </c>
      <c r="AD81" s="15"/>
      <c r="AE81" s="111"/>
      <c r="AF81" s="18" t="e">
        <f t="shared" si="11"/>
        <v>#DIV/0!</v>
      </c>
      <c r="AG81" s="10"/>
      <c r="AH81" s="17" t="e">
        <f t="shared" si="13"/>
        <v>#DIV/0!</v>
      </c>
      <c r="AI81" s="15"/>
      <c r="AJ81" s="111"/>
      <c r="AK81" s="18" t="e">
        <f t="shared" si="5"/>
        <v>#DIV/0!</v>
      </c>
    </row>
    <row r="82" spans="1:37" ht="57" customHeight="1">
      <c r="A82" s="218"/>
      <c r="B82" s="217" t="s">
        <v>43</v>
      </c>
      <c r="C82" s="217" t="s">
        <v>112</v>
      </c>
      <c r="D82" s="310" t="s">
        <v>55</v>
      </c>
      <c r="E82" s="185" t="s">
        <v>89</v>
      </c>
      <c r="F82" s="365" t="s">
        <v>160</v>
      </c>
      <c r="G82" s="302">
        <v>0.03</v>
      </c>
      <c r="H82" s="229" t="s">
        <v>145</v>
      </c>
      <c r="I82" s="157" t="s">
        <v>398</v>
      </c>
      <c r="J82" s="291" t="s">
        <v>51</v>
      </c>
      <c r="K82" s="413" t="s">
        <v>158</v>
      </c>
      <c r="L82" s="152" t="s">
        <v>538</v>
      </c>
      <c r="M82" s="152" t="s">
        <v>606</v>
      </c>
      <c r="N82" s="259">
        <v>1</v>
      </c>
      <c r="O82" s="342">
        <v>1</v>
      </c>
      <c r="P82" s="281">
        <f>+O82/N82</f>
        <v>1</v>
      </c>
      <c r="Q82" s="259">
        <v>1</v>
      </c>
      <c r="R82" s="259">
        <v>2</v>
      </c>
      <c r="S82" s="470">
        <v>1</v>
      </c>
      <c r="T82" s="259">
        <v>3</v>
      </c>
      <c r="U82" s="259">
        <v>3</v>
      </c>
      <c r="V82" s="259" t="s">
        <v>58</v>
      </c>
      <c r="W82" s="20" t="s">
        <v>74</v>
      </c>
      <c r="X82" s="20" t="s">
        <v>392</v>
      </c>
      <c r="Y82" s="20" t="s">
        <v>388</v>
      </c>
      <c r="Z82" s="53">
        <f>20*G82</f>
        <v>0.6</v>
      </c>
      <c r="AA82" s="463" t="s">
        <v>313</v>
      </c>
      <c r="AB82" s="3" t="s">
        <v>219</v>
      </c>
      <c r="AC82" s="17">
        <f t="shared" ref="AC82:AC128" si="14">1/COUNTIF($AB$11:$AB$128,AB82)</f>
        <v>1</v>
      </c>
      <c r="AD82" s="116">
        <v>1</v>
      </c>
      <c r="AE82" s="111">
        <v>1</v>
      </c>
      <c r="AF82" s="18">
        <f t="shared" ref="AF82:AF128" si="15">AC82*AD82</f>
        <v>1</v>
      </c>
      <c r="AG82" s="3" t="s">
        <v>219</v>
      </c>
      <c r="AH82" s="17">
        <f t="shared" si="13"/>
        <v>0.2</v>
      </c>
      <c r="AI82" s="116">
        <v>1</v>
      </c>
      <c r="AJ82" s="111">
        <v>1</v>
      </c>
      <c r="AK82" s="18">
        <f t="shared" si="5"/>
        <v>0.2</v>
      </c>
    </row>
    <row r="83" spans="1:37" ht="39.75" customHeight="1">
      <c r="A83" s="218"/>
      <c r="B83" s="218"/>
      <c r="C83" s="218"/>
      <c r="D83" s="310"/>
      <c r="E83" s="185"/>
      <c r="F83" s="365"/>
      <c r="G83" s="302"/>
      <c r="H83" s="229"/>
      <c r="I83" s="158"/>
      <c r="J83" s="292"/>
      <c r="K83" s="413"/>
      <c r="L83" s="158"/>
      <c r="M83" s="158"/>
      <c r="N83" s="259"/>
      <c r="O83" s="343"/>
      <c r="P83" s="282"/>
      <c r="Q83" s="259"/>
      <c r="R83" s="259"/>
      <c r="S83" s="470"/>
      <c r="T83" s="259"/>
      <c r="U83" s="259"/>
      <c r="V83" s="259"/>
      <c r="W83" s="20" t="s">
        <v>142</v>
      </c>
      <c r="X83" s="20" t="s">
        <v>389</v>
      </c>
      <c r="Y83" s="20" t="s">
        <v>394</v>
      </c>
      <c r="Z83" s="53">
        <f>20*G82</f>
        <v>0.6</v>
      </c>
      <c r="AA83" s="468"/>
      <c r="AB83" s="3"/>
      <c r="AC83" s="17" t="e">
        <f t="shared" si="14"/>
        <v>#DIV/0!</v>
      </c>
      <c r="AD83" s="116"/>
      <c r="AE83" s="111">
        <v>1</v>
      </c>
      <c r="AF83" s="18" t="e">
        <f t="shared" si="15"/>
        <v>#DIV/0!</v>
      </c>
      <c r="AG83" s="3" t="s">
        <v>219</v>
      </c>
      <c r="AH83" s="17">
        <f t="shared" si="13"/>
        <v>0.2</v>
      </c>
      <c r="AI83" s="116">
        <v>1</v>
      </c>
      <c r="AJ83" s="111">
        <v>1</v>
      </c>
      <c r="AK83" s="18">
        <f t="shared" ref="AK83:AK128" si="16">AH83*AI83</f>
        <v>0.2</v>
      </c>
    </row>
    <row r="84" spans="1:37" ht="121.5" customHeight="1">
      <c r="A84" s="218"/>
      <c r="B84" s="218"/>
      <c r="C84" s="218"/>
      <c r="D84" s="310"/>
      <c r="E84" s="185"/>
      <c r="F84" s="365"/>
      <c r="G84" s="302"/>
      <c r="H84" s="229"/>
      <c r="I84" s="158"/>
      <c r="J84" s="292"/>
      <c r="K84" s="413"/>
      <c r="L84" s="158"/>
      <c r="M84" s="158"/>
      <c r="N84" s="259"/>
      <c r="O84" s="343"/>
      <c r="P84" s="282"/>
      <c r="Q84" s="259"/>
      <c r="R84" s="259"/>
      <c r="S84" s="470"/>
      <c r="T84" s="259"/>
      <c r="U84" s="259"/>
      <c r="V84" s="259"/>
      <c r="W84" s="20" t="s">
        <v>143</v>
      </c>
      <c r="X84" s="20" t="s">
        <v>393</v>
      </c>
      <c r="Y84" s="20" t="s">
        <v>395</v>
      </c>
      <c r="Z84" s="53">
        <f>20*G82</f>
        <v>0.6</v>
      </c>
      <c r="AA84" s="468"/>
      <c r="AB84" s="3"/>
      <c r="AC84" s="17" t="e">
        <f t="shared" si="14"/>
        <v>#DIV/0!</v>
      </c>
      <c r="AD84" s="116"/>
      <c r="AE84" s="111">
        <v>1</v>
      </c>
      <c r="AF84" s="18" t="e">
        <f t="shared" si="15"/>
        <v>#DIV/0!</v>
      </c>
      <c r="AG84" s="3" t="s">
        <v>219</v>
      </c>
      <c r="AH84" s="17">
        <f t="shared" si="13"/>
        <v>0.2</v>
      </c>
      <c r="AI84" s="116">
        <v>1</v>
      </c>
      <c r="AJ84" s="111">
        <v>1</v>
      </c>
      <c r="AK84" s="18">
        <f t="shared" si="16"/>
        <v>0.2</v>
      </c>
    </row>
    <row r="85" spans="1:37" ht="176.25" customHeight="1">
      <c r="A85" s="218"/>
      <c r="B85" s="218"/>
      <c r="C85" s="218"/>
      <c r="D85" s="310"/>
      <c r="E85" s="185"/>
      <c r="F85" s="365"/>
      <c r="G85" s="302"/>
      <c r="H85" s="229"/>
      <c r="I85" s="158"/>
      <c r="J85" s="292"/>
      <c r="K85" s="413"/>
      <c r="L85" s="158"/>
      <c r="M85" s="158"/>
      <c r="N85" s="259"/>
      <c r="O85" s="343"/>
      <c r="P85" s="282"/>
      <c r="Q85" s="259"/>
      <c r="R85" s="259"/>
      <c r="S85" s="470"/>
      <c r="T85" s="259"/>
      <c r="U85" s="259"/>
      <c r="V85" s="259"/>
      <c r="W85" s="20" t="s">
        <v>150</v>
      </c>
      <c r="X85" s="20" t="s">
        <v>390</v>
      </c>
      <c r="Y85" s="20" t="s">
        <v>396</v>
      </c>
      <c r="Z85" s="53">
        <f>20*G82</f>
        <v>0.6</v>
      </c>
      <c r="AA85" s="468"/>
      <c r="AB85" s="3"/>
      <c r="AC85" s="17" t="e">
        <f t="shared" si="14"/>
        <v>#DIV/0!</v>
      </c>
      <c r="AD85" s="116"/>
      <c r="AE85" s="111">
        <v>1</v>
      </c>
      <c r="AF85" s="18" t="e">
        <f t="shared" si="15"/>
        <v>#DIV/0!</v>
      </c>
      <c r="AG85" s="3" t="s">
        <v>219</v>
      </c>
      <c r="AH85" s="17">
        <f t="shared" si="13"/>
        <v>0.2</v>
      </c>
      <c r="AI85" s="116">
        <v>1</v>
      </c>
      <c r="AJ85" s="111">
        <v>1</v>
      </c>
      <c r="AK85" s="18">
        <f t="shared" si="16"/>
        <v>0.2</v>
      </c>
    </row>
    <row r="86" spans="1:37" ht="83.25" customHeight="1">
      <c r="A86" s="218"/>
      <c r="B86" s="218"/>
      <c r="C86" s="218"/>
      <c r="D86" s="217"/>
      <c r="E86" s="185"/>
      <c r="F86" s="366"/>
      <c r="G86" s="333"/>
      <c r="H86" s="157"/>
      <c r="I86" s="159"/>
      <c r="J86" s="293"/>
      <c r="K86" s="413"/>
      <c r="L86" s="159"/>
      <c r="M86" s="159"/>
      <c r="N86" s="259"/>
      <c r="O86" s="344"/>
      <c r="P86" s="283"/>
      <c r="Q86" s="259"/>
      <c r="R86" s="259"/>
      <c r="S86" s="470"/>
      <c r="T86" s="259"/>
      <c r="U86" s="259"/>
      <c r="V86" s="259"/>
      <c r="W86" s="25" t="s">
        <v>144</v>
      </c>
      <c r="X86" s="25" t="s">
        <v>391</v>
      </c>
      <c r="Y86" s="25" t="s">
        <v>397</v>
      </c>
      <c r="Z86" s="51">
        <f>20*G82</f>
        <v>0.6</v>
      </c>
      <c r="AA86" s="464"/>
      <c r="AB86" s="7"/>
      <c r="AC86" s="17" t="e">
        <f t="shared" si="14"/>
        <v>#DIV/0!</v>
      </c>
      <c r="AD86" s="116"/>
      <c r="AE86" s="111">
        <v>1</v>
      </c>
      <c r="AF86" s="18" t="e">
        <f t="shared" si="15"/>
        <v>#DIV/0!</v>
      </c>
      <c r="AG86" s="3" t="s">
        <v>219</v>
      </c>
      <c r="AH86" s="17">
        <f t="shared" si="13"/>
        <v>0.2</v>
      </c>
      <c r="AI86" s="116">
        <v>1</v>
      </c>
      <c r="AJ86" s="111">
        <v>1</v>
      </c>
      <c r="AK86" s="18">
        <f t="shared" si="16"/>
        <v>0.2</v>
      </c>
    </row>
    <row r="87" spans="1:37" ht="66.75" customHeight="1">
      <c r="A87" s="217" t="s">
        <v>40</v>
      </c>
      <c r="B87" s="217" t="s">
        <v>43</v>
      </c>
      <c r="C87" s="310" t="s">
        <v>88</v>
      </c>
      <c r="D87" s="310" t="s">
        <v>123</v>
      </c>
      <c r="E87" s="185"/>
      <c r="F87" s="359" t="s">
        <v>147</v>
      </c>
      <c r="G87" s="300">
        <v>0.08</v>
      </c>
      <c r="H87" s="364" t="s">
        <v>148</v>
      </c>
      <c r="I87" s="382" t="s">
        <v>374</v>
      </c>
      <c r="J87" s="345" t="s">
        <v>13</v>
      </c>
      <c r="K87" s="160" t="s">
        <v>161</v>
      </c>
      <c r="L87" s="160" t="s">
        <v>521</v>
      </c>
      <c r="M87" s="160"/>
      <c r="N87" s="354">
        <v>0.94</v>
      </c>
      <c r="O87" s="327">
        <v>0.95799999999999996</v>
      </c>
      <c r="P87" s="281">
        <v>1</v>
      </c>
      <c r="Q87" s="354" t="s">
        <v>30</v>
      </c>
      <c r="R87" s="236">
        <f>2678/2808</f>
        <v>0.95370370370370372</v>
      </c>
      <c r="S87" s="254">
        <v>1</v>
      </c>
      <c r="T87" s="354" t="s">
        <v>30</v>
      </c>
      <c r="U87" s="354" t="s">
        <v>30</v>
      </c>
      <c r="V87" s="415" t="s">
        <v>62</v>
      </c>
      <c r="W87" s="117" t="s">
        <v>115</v>
      </c>
      <c r="X87" s="155" t="s">
        <v>374</v>
      </c>
      <c r="Y87" s="481" t="s">
        <v>375</v>
      </c>
      <c r="Z87" s="53">
        <f>50*G87</f>
        <v>4</v>
      </c>
      <c r="AA87" s="463" t="s">
        <v>314</v>
      </c>
      <c r="AB87" s="6" t="s">
        <v>220</v>
      </c>
      <c r="AC87" s="17">
        <f t="shared" si="14"/>
        <v>0.5</v>
      </c>
      <c r="AD87" s="116">
        <v>1</v>
      </c>
      <c r="AE87" s="111">
        <v>1</v>
      </c>
      <c r="AF87" s="18">
        <f t="shared" si="15"/>
        <v>0.5</v>
      </c>
      <c r="AG87" s="6" t="s">
        <v>220</v>
      </c>
      <c r="AH87" s="17">
        <f t="shared" si="13"/>
        <v>0.5</v>
      </c>
      <c r="AI87" s="116">
        <v>1</v>
      </c>
      <c r="AJ87" s="111">
        <v>1</v>
      </c>
      <c r="AK87" s="18">
        <f t="shared" si="16"/>
        <v>0.5</v>
      </c>
    </row>
    <row r="88" spans="1:37" ht="165.75" customHeight="1">
      <c r="A88" s="218"/>
      <c r="B88" s="218"/>
      <c r="C88" s="310"/>
      <c r="D88" s="310"/>
      <c r="E88" s="185"/>
      <c r="F88" s="359"/>
      <c r="G88" s="300"/>
      <c r="H88" s="364"/>
      <c r="I88" s="383"/>
      <c r="J88" s="347"/>
      <c r="K88" s="161"/>
      <c r="L88" s="161"/>
      <c r="M88" s="161"/>
      <c r="N88" s="354"/>
      <c r="O88" s="328"/>
      <c r="P88" s="283"/>
      <c r="Q88" s="354"/>
      <c r="R88" s="236"/>
      <c r="S88" s="254"/>
      <c r="T88" s="354"/>
      <c r="U88" s="354"/>
      <c r="V88" s="415"/>
      <c r="W88" s="117" t="s">
        <v>116</v>
      </c>
      <c r="X88" s="156"/>
      <c r="Y88" s="482"/>
      <c r="Z88" s="53">
        <f>50*G87</f>
        <v>4</v>
      </c>
      <c r="AA88" s="464"/>
      <c r="AB88" s="3" t="s">
        <v>220</v>
      </c>
      <c r="AC88" s="17">
        <f t="shared" si="14"/>
        <v>0.5</v>
      </c>
      <c r="AD88" s="116">
        <v>1</v>
      </c>
      <c r="AE88" s="111">
        <v>1</v>
      </c>
      <c r="AF88" s="18">
        <f t="shared" si="15"/>
        <v>0.5</v>
      </c>
      <c r="AG88" s="3" t="s">
        <v>220</v>
      </c>
      <c r="AH88" s="17">
        <f t="shared" si="13"/>
        <v>0.5</v>
      </c>
      <c r="AI88" s="116">
        <v>1</v>
      </c>
      <c r="AJ88" s="111">
        <v>1</v>
      </c>
      <c r="AK88" s="18">
        <f t="shared" si="16"/>
        <v>0.5</v>
      </c>
    </row>
    <row r="89" spans="1:37" ht="257.25" customHeight="1">
      <c r="A89" s="218"/>
      <c r="B89" s="218"/>
      <c r="C89" s="217" t="s">
        <v>46</v>
      </c>
      <c r="D89" s="217" t="s">
        <v>46</v>
      </c>
      <c r="E89" s="185"/>
      <c r="F89" s="330" t="s">
        <v>296</v>
      </c>
      <c r="G89" s="300">
        <v>0.08</v>
      </c>
      <c r="H89" s="384" t="s">
        <v>31</v>
      </c>
      <c r="I89" s="384" t="s">
        <v>415</v>
      </c>
      <c r="J89" s="345" t="s">
        <v>60</v>
      </c>
      <c r="K89" s="160" t="s">
        <v>163</v>
      </c>
      <c r="L89" s="201" t="s">
        <v>549</v>
      </c>
      <c r="M89" s="201" t="s">
        <v>607</v>
      </c>
      <c r="N89" s="337"/>
      <c r="O89" s="338"/>
      <c r="P89" s="256"/>
      <c r="Q89" s="186">
        <v>0.3</v>
      </c>
      <c r="R89" s="504">
        <f>(6/8)</f>
        <v>0.75</v>
      </c>
      <c r="S89" s="507">
        <v>1</v>
      </c>
      <c r="T89" s="186">
        <v>0.3</v>
      </c>
      <c r="U89" s="186">
        <v>0.3</v>
      </c>
      <c r="V89" s="232" t="s">
        <v>61</v>
      </c>
      <c r="W89" s="122" t="s">
        <v>135</v>
      </c>
      <c r="X89" s="69" t="s">
        <v>404</v>
      </c>
      <c r="Y89" s="69" t="s">
        <v>411</v>
      </c>
      <c r="Z89" s="56">
        <f>15*G89</f>
        <v>1.2</v>
      </c>
      <c r="AA89" s="501" t="s">
        <v>315</v>
      </c>
      <c r="AB89" s="8"/>
      <c r="AC89" s="17" t="e">
        <f t="shared" si="14"/>
        <v>#DIV/0!</v>
      </c>
      <c r="AD89" s="15"/>
      <c r="AE89" s="111"/>
      <c r="AF89" s="18" t="e">
        <f t="shared" si="15"/>
        <v>#DIV/0!</v>
      </c>
      <c r="AG89" s="3" t="s">
        <v>221</v>
      </c>
      <c r="AH89" s="17">
        <f t="shared" si="13"/>
        <v>0.125</v>
      </c>
      <c r="AI89" s="113">
        <v>1</v>
      </c>
      <c r="AJ89" s="111">
        <v>1</v>
      </c>
      <c r="AK89" s="18">
        <f t="shared" si="16"/>
        <v>0.125</v>
      </c>
    </row>
    <row r="90" spans="1:37" ht="75.75" customHeight="1">
      <c r="A90" s="218"/>
      <c r="B90" s="218"/>
      <c r="C90" s="218"/>
      <c r="D90" s="218"/>
      <c r="E90" s="185"/>
      <c r="F90" s="331"/>
      <c r="G90" s="300"/>
      <c r="H90" s="385"/>
      <c r="I90" s="385"/>
      <c r="J90" s="346"/>
      <c r="K90" s="274"/>
      <c r="L90" s="202"/>
      <c r="M90" s="202"/>
      <c r="N90" s="337"/>
      <c r="O90" s="339"/>
      <c r="P90" s="341"/>
      <c r="Q90" s="187"/>
      <c r="R90" s="505"/>
      <c r="S90" s="508"/>
      <c r="T90" s="187"/>
      <c r="U90" s="187"/>
      <c r="V90" s="233"/>
      <c r="W90" s="69" t="s">
        <v>136</v>
      </c>
      <c r="X90" s="69" t="s">
        <v>405</v>
      </c>
      <c r="Y90" s="69" t="s">
        <v>412</v>
      </c>
      <c r="Z90" s="56">
        <f>15*G89</f>
        <v>1.2</v>
      </c>
      <c r="AA90" s="502"/>
      <c r="AB90" s="8"/>
      <c r="AC90" s="17" t="e">
        <f t="shared" si="14"/>
        <v>#DIV/0!</v>
      </c>
      <c r="AD90" s="15"/>
      <c r="AE90" s="111"/>
      <c r="AF90" s="18" t="e">
        <f t="shared" si="15"/>
        <v>#DIV/0!</v>
      </c>
      <c r="AG90" s="3" t="s">
        <v>221</v>
      </c>
      <c r="AH90" s="17">
        <f t="shared" si="13"/>
        <v>0.125</v>
      </c>
      <c r="AI90" s="113">
        <v>1</v>
      </c>
      <c r="AJ90" s="111">
        <v>1</v>
      </c>
      <c r="AK90" s="18">
        <f t="shared" si="16"/>
        <v>0.125</v>
      </c>
    </row>
    <row r="91" spans="1:37" ht="54" customHeight="1">
      <c r="A91" s="218"/>
      <c r="B91" s="218"/>
      <c r="C91" s="218"/>
      <c r="D91" s="218"/>
      <c r="E91" s="185"/>
      <c r="F91" s="331"/>
      <c r="G91" s="300"/>
      <c r="H91" s="385"/>
      <c r="I91" s="385"/>
      <c r="J91" s="346"/>
      <c r="K91" s="274"/>
      <c r="L91" s="202"/>
      <c r="M91" s="202"/>
      <c r="N91" s="337"/>
      <c r="O91" s="339"/>
      <c r="P91" s="341"/>
      <c r="Q91" s="187"/>
      <c r="R91" s="505"/>
      <c r="S91" s="508"/>
      <c r="T91" s="187"/>
      <c r="U91" s="187"/>
      <c r="V91" s="233"/>
      <c r="W91" s="30" t="s">
        <v>137</v>
      </c>
      <c r="X91" s="69" t="s">
        <v>406</v>
      </c>
      <c r="Y91" s="69" t="s">
        <v>413</v>
      </c>
      <c r="Z91" s="56">
        <f>15*G89</f>
        <v>1.2</v>
      </c>
      <c r="AA91" s="502"/>
      <c r="AB91" s="8"/>
      <c r="AC91" s="17" t="e">
        <f t="shared" si="14"/>
        <v>#DIV/0!</v>
      </c>
      <c r="AD91" s="15"/>
      <c r="AE91" s="111"/>
      <c r="AF91" s="18" t="e">
        <f t="shared" si="15"/>
        <v>#DIV/0!</v>
      </c>
      <c r="AG91" s="3" t="s">
        <v>221</v>
      </c>
      <c r="AH91" s="17">
        <f t="shared" si="13"/>
        <v>0.125</v>
      </c>
      <c r="AI91" s="113">
        <v>1</v>
      </c>
      <c r="AJ91" s="111">
        <v>1</v>
      </c>
      <c r="AK91" s="18">
        <f t="shared" si="16"/>
        <v>0.125</v>
      </c>
    </row>
    <row r="92" spans="1:37" ht="97.5" customHeight="1">
      <c r="A92" s="218"/>
      <c r="B92" s="218"/>
      <c r="C92" s="218"/>
      <c r="D92" s="218"/>
      <c r="E92" s="185"/>
      <c r="F92" s="331"/>
      <c r="G92" s="300"/>
      <c r="H92" s="385"/>
      <c r="I92" s="385"/>
      <c r="J92" s="346"/>
      <c r="K92" s="274"/>
      <c r="L92" s="202"/>
      <c r="M92" s="202"/>
      <c r="N92" s="337"/>
      <c r="O92" s="339"/>
      <c r="P92" s="341"/>
      <c r="Q92" s="187"/>
      <c r="R92" s="505"/>
      <c r="S92" s="508"/>
      <c r="T92" s="187"/>
      <c r="U92" s="187"/>
      <c r="V92" s="233"/>
      <c r="W92" s="122" t="s">
        <v>76</v>
      </c>
      <c r="X92" s="69" t="s">
        <v>407</v>
      </c>
      <c r="Y92" s="69" t="s">
        <v>572</v>
      </c>
      <c r="Z92" s="56">
        <f>10*G89</f>
        <v>0.8</v>
      </c>
      <c r="AA92" s="502"/>
      <c r="AB92" s="8"/>
      <c r="AC92" s="17" t="e">
        <f t="shared" si="14"/>
        <v>#DIV/0!</v>
      </c>
      <c r="AD92" s="15"/>
      <c r="AE92" s="111"/>
      <c r="AF92" s="18" t="e">
        <f t="shared" si="15"/>
        <v>#DIV/0!</v>
      </c>
      <c r="AG92" s="3" t="s">
        <v>221</v>
      </c>
      <c r="AH92" s="17">
        <f t="shared" si="13"/>
        <v>0.125</v>
      </c>
      <c r="AI92" s="113">
        <v>1</v>
      </c>
      <c r="AJ92" s="111">
        <v>1</v>
      </c>
      <c r="AK92" s="18">
        <f t="shared" si="16"/>
        <v>0.125</v>
      </c>
    </row>
    <row r="93" spans="1:37" ht="42.75" customHeight="1">
      <c r="A93" s="218"/>
      <c r="B93" s="218"/>
      <c r="C93" s="218"/>
      <c r="D93" s="218"/>
      <c r="E93" s="185"/>
      <c r="F93" s="331"/>
      <c r="G93" s="300"/>
      <c r="H93" s="385"/>
      <c r="I93" s="385"/>
      <c r="J93" s="346"/>
      <c r="K93" s="274"/>
      <c r="L93" s="202"/>
      <c r="M93" s="202"/>
      <c r="N93" s="337"/>
      <c r="O93" s="339"/>
      <c r="P93" s="341"/>
      <c r="Q93" s="187"/>
      <c r="R93" s="505"/>
      <c r="S93" s="508"/>
      <c r="T93" s="187"/>
      <c r="U93" s="187"/>
      <c r="V93" s="233"/>
      <c r="W93" s="122" t="s">
        <v>243</v>
      </c>
      <c r="X93" s="69" t="s">
        <v>410</v>
      </c>
      <c r="Y93" s="69" t="s">
        <v>414</v>
      </c>
      <c r="Z93" s="56">
        <f>10*G89</f>
        <v>0.8</v>
      </c>
      <c r="AA93" s="502"/>
      <c r="AB93" s="8"/>
      <c r="AC93" s="17" t="e">
        <f t="shared" si="14"/>
        <v>#DIV/0!</v>
      </c>
      <c r="AD93" s="15"/>
      <c r="AE93" s="111"/>
      <c r="AF93" s="18" t="e">
        <f t="shared" si="15"/>
        <v>#DIV/0!</v>
      </c>
      <c r="AG93" s="3" t="s">
        <v>221</v>
      </c>
      <c r="AH93" s="17">
        <f t="shared" si="13"/>
        <v>0.125</v>
      </c>
      <c r="AI93" s="113">
        <v>1</v>
      </c>
      <c r="AJ93" s="111">
        <v>1</v>
      </c>
      <c r="AK93" s="18">
        <f t="shared" si="16"/>
        <v>0.125</v>
      </c>
    </row>
    <row r="94" spans="1:37" ht="42.75" customHeight="1">
      <c r="A94" s="218" t="s">
        <v>40</v>
      </c>
      <c r="B94" s="218" t="s">
        <v>43</v>
      </c>
      <c r="C94" s="218" t="s">
        <v>46</v>
      </c>
      <c r="D94" s="218" t="s">
        <v>46</v>
      </c>
      <c r="E94" s="185"/>
      <c r="F94" s="331"/>
      <c r="G94" s="300"/>
      <c r="H94" s="385"/>
      <c r="I94" s="385"/>
      <c r="J94" s="346"/>
      <c r="K94" s="274"/>
      <c r="L94" s="202"/>
      <c r="M94" s="202"/>
      <c r="N94" s="337"/>
      <c r="O94" s="339"/>
      <c r="P94" s="341"/>
      <c r="Q94" s="187"/>
      <c r="R94" s="505"/>
      <c r="S94" s="508"/>
      <c r="T94" s="187"/>
      <c r="U94" s="187"/>
      <c r="V94" s="233"/>
      <c r="W94" s="122" t="s">
        <v>245</v>
      </c>
      <c r="X94" s="69" t="s">
        <v>408</v>
      </c>
      <c r="Y94" s="69" t="s">
        <v>414</v>
      </c>
      <c r="Z94" s="56">
        <f>10*G89</f>
        <v>0.8</v>
      </c>
      <c r="AA94" s="502"/>
      <c r="AB94" s="8"/>
      <c r="AC94" s="17" t="e">
        <f t="shared" si="14"/>
        <v>#DIV/0!</v>
      </c>
      <c r="AD94" s="15"/>
      <c r="AE94" s="111"/>
      <c r="AF94" s="18" t="e">
        <f t="shared" si="15"/>
        <v>#DIV/0!</v>
      </c>
      <c r="AG94" s="3" t="s">
        <v>221</v>
      </c>
      <c r="AH94" s="17">
        <f t="shared" si="13"/>
        <v>0.125</v>
      </c>
      <c r="AI94" s="113">
        <v>1</v>
      </c>
      <c r="AJ94" s="111">
        <v>1</v>
      </c>
      <c r="AK94" s="18">
        <f t="shared" si="16"/>
        <v>0.125</v>
      </c>
    </row>
    <row r="95" spans="1:37" ht="123" customHeight="1">
      <c r="A95" s="218"/>
      <c r="B95" s="218"/>
      <c r="C95" s="218"/>
      <c r="D95" s="218"/>
      <c r="E95" s="185"/>
      <c r="F95" s="331"/>
      <c r="G95" s="300"/>
      <c r="H95" s="385"/>
      <c r="I95" s="385"/>
      <c r="J95" s="346"/>
      <c r="K95" s="274"/>
      <c r="L95" s="202"/>
      <c r="M95" s="202"/>
      <c r="N95" s="337"/>
      <c r="O95" s="339"/>
      <c r="P95" s="341"/>
      <c r="Q95" s="187"/>
      <c r="R95" s="505"/>
      <c r="S95" s="508"/>
      <c r="T95" s="187"/>
      <c r="U95" s="187"/>
      <c r="V95" s="233"/>
      <c r="W95" s="122" t="s">
        <v>244</v>
      </c>
      <c r="X95" s="69" t="s">
        <v>408</v>
      </c>
      <c r="Y95" s="69" t="s">
        <v>414</v>
      </c>
      <c r="Z95" s="56">
        <f>10*G89</f>
        <v>0.8</v>
      </c>
      <c r="AA95" s="502"/>
      <c r="AB95" s="8"/>
      <c r="AC95" s="17" t="e">
        <f t="shared" si="14"/>
        <v>#DIV/0!</v>
      </c>
      <c r="AD95" s="15"/>
      <c r="AE95" s="111"/>
      <c r="AF95" s="18" t="e">
        <f t="shared" si="15"/>
        <v>#DIV/0!</v>
      </c>
      <c r="AG95" s="3" t="s">
        <v>221</v>
      </c>
      <c r="AH95" s="17">
        <f t="shared" si="13"/>
        <v>0.125</v>
      </c>
      <c r="AI95" s="113">
        <v>1</v>
      </c>
      <c r="AJ95" s="111">
        <v>1</v>
      </c>
      <c r="AK95" s="18">
        <f t="shared" si="16"/>
        <v>0.125</v>
      </c>
    </row>
    <row r="96" spans="1:37" ht="192" customHeight="1">
      <c r="A96" s="219"/>
      <c r="B96" s="219"/>
      <c r="C96" s="219"/>
      <c r="D96" s="219"/>
      <c r="E96" s="185"/>
      <c r="F96" s="332"/>
      <c r="G96" s="300"/>
      <c r="H96" s="386"/>
      <c r="I96" s="386"/>
      <c r="J96" s="347"/>
      <c r="K96" s="161"/>
      <c r="L96" s="203"/>
      <c r="M96" s="203"/>
      <c r="N96" s="337"/>
      <c r="O96" s="340"/>
      <c r="P96" s="257"/>
      <c r="Q96" s="188"/>
      <c r="R96" s="506"/>
      <c r="S96" s="509"/>
      <c r="T96" s="188"/>
      <c r="U96" s="188"/>
      <c r="V96" s="234"/>
      <c r="W96" s="123" t="s">
        <v>574</v>
      </c>
      <c r="X96" s="69" t="s">
        <v>409</v>
      </c>
      <c r="Y96" s="69" t="s">
        <v>573</v>
      </c>
      <c r="Z96" s="56">
        <f>15*G89</f>
        <v>1.2</v>
      </c>
      <c r="AA96" s="503"/>
      <c r="AB96" s="8"/>
      <c r="AC96" s="17" t="e">
        <f t="shared" si="14"/>
        <v>#DIV/0!</v>
      </c>
      <c r="AD96" s="15"/>
      <c r="AE96" s="111"/>
      <c r="AF96" s="18" t="e">
        <f t="shared" si="15"/>
        <v>#DIV/0!</v>
      </c>
      <c r="AG96" s="3" t="s">
        <v>221</v>
      </c>
      <c r="AH96" s="17">
        <f t="shared" si="13"/>
        <v>0.125</v>
      </c>
      <c r="AI96" s="113">
        <v>1</v>
      </c>
      <c r="AJ96" s="111">
        <v>1</v>
      </c>
      <c r="AK96" s="18">
        <f t="shared" si="16"/>
        <v>0.125</v>
      </c>
    </row>
    <row r="97" spans="1:42" ht="87.75" customHeight="1">
      <c r="A97" s="310" t="s">
        <v>90</v>
      </c>
      <c r="B97" s="310" t="s">
        <v>91</v>
      </c>
      <c r="C97" s="310" t="s">
        <v>92</v>
      </c>
      <c r="D97" s="310" t="s">
        <v>93</v>
      </c>
      <c r="E97" s="185"/>
      <c r="F97" s="329" t="s">
        <v>155</v>
      </c>
      <c r="G97" s="300">
        <v>0.04</v>
      </c>
      <c r="H97" s="297">
        <v>0</v>
      </c>
      <c r="I97" s="249" t="s">
        <v>376</v>
      </c>
      <c r="J97" s="269" t="s">
        <v>110</v>
      </c>
      <c r="K97" s="249" t="s">
        <v>498</v>
      </c>
      <c r="L97" s="249" t="s">
        <v>522</v>
      </c>
      <c r="M97" s="249" t="s">
        <v>608</v>
      </c>
      <c r="N97" s="375">
        <v>0.22500000000000001</v>
      </c>
      <c r="O97" s="390">
        <v>0.22500000000000001</v>
      </c>
      <c r="P97" s="281">
        <f>O97/N97</f>
        <v>1</v>
      </c>
      <c r="Q97" s="375">
        <v>0.22500000000000001</v>
      </c>
      <c r="R97" s="315">
        <v>0.97</v>
      </c>
      <c r="S97" s="316">
        <v>1</v>
      </c>
      <c r="T97" s="375">
        <v>0.22500000000000001</v>
      </c>
      <c r="U97" s="375">
        <v>0.22500000000000001</v>
      </c>
      <c r="V97" s="415" t="s">
        <v>58</v>
      </c>
      <c r="W97" s="20" t="s">
        <v>156</v>
      </c>
      <c r="X97" s="20" t="s">
        <v>377</v>
      </c>
      <c r="Y97" s="20" t="s">
        <v>379</v>
      </c>
      <c r="Z97" s="53">
        <f>50*G97</f>
        <v>2</v>
      </c>
      <c r="AA97" s="463" t="s">
        <v>314</v>
      </c>
      <c r="AB97" s="3" t="s">
        <v>222</v>
      </c>
      <c r="AC97" s="17">
        <f t="shared" si="14"/>
        <v>0.5</v>
      </c>
      <c r="AD97" s="113">
        <v>1</v>
      </c>
      <c r="AE97" s="111">
        <v>1</v>
      </c>
      <c r="AF97" s="18">
        <f t="shared" si="15"/>
        <v>0.5</v>
      </c>
      <c r="AG97" s="3" t="s">
        <v>222</v>
      </c>
      <c r="AH97" s="17">
        <f t="shared" si="13"/>
        <v>0.5</v>
      </c>
      <c r="AI97" s="113">
        <v>1</v>
      </c>
      <c r="AJ97" s="111">
        <v>1</v>
      </c>
      <c r="AK97" s="18">
        <f t="shared" si="16"/>
        <v>0.5</v>
      </c>
    </row>
    <row r="98" spans="1:42" ht="79.5" customHeight="1">
      <c r="A98" s="310"/>
      <c r="B98" s="310"/>
      <c r="C98" s="310"/>
      <c r="D98" s="310"/>
      <c r="E98" s="185"/>
      <c r="F98" s="329"/>
      <c r="G98" s="300"/>
      <c r="H98" s="297"/>
      <c r="I98" s="251"/>
      <c r="J98" s="270"/>
      <c r="K98" s="251"/>
      <c r="L98" s="251"/>
      <c r="M98" s="251"/>
      <c r="N98" s="375"/>
      <c r="O98" s="391"/>
      <c r="P98" s="283"/>
      <c r="Q98" s="375"/>
      <c r="R98" s="315"/>
      <c r="S98" s="316"/>
      <c r="T98" s="375"/>
      <c r="U98" s="375"/>
      <c r="V98" s="415"/>
      <c r="W98" s="20" t="s">
        <v>157</v>
      </c>
      <c r="X98" s="20" t="s">
        <v>378</v>
      </c>
      <c r="Y98" s="20" t="s">
        <v>380</v>
      </c>
      <c r="Z98" s="53">
        <f>50*G97</f>
        <v>2</v>
      </c>
      <c r="AA98" s="464"/>
      <c r="AB98" s="6" t="s">
        <v>222</v>
      </c>
      <c r="AC98" s="17">
        <f t="shared" si="14"/>
        <v>0.5</v>
      </c>
      <c r="AD98" s="113">
        <v>1</v>
      </c>
      <c r="AE98" s="111">
        <v>1</v>
      </c>
      <c r="AF98" s="18">
        <f t="shared" si="15"/>
        <v>0.5</v>
      </c>
      <c r="AG98" s="6" t="s">
        <v>222</v>
      </c>
      <c r="AH98" s="17">
        <f t="shared" si="13"/>
        <v>0.5</v>
      </c>
      <c r="AI98" s="113">
        <v>1</v>
      </c>
      <c r="AJ98" s="111">
        <v>1</v>
      </c>
      <c r="AK98" s="18">
        <f t="shared" si="16"/>
        <v>0.5</v>
      </c>
    </row>
    <row r="99" spans="1:42" ht="58.5" customHeight="1">
      <c r="A99" s="310"/>
      <c r="B99" s="310"/>
      <c r="C99" s="310"/>
      <c r="D99" s="310"/>
      <c r="E99" s="185"/>
      <c r="F99" s="359" t="s">
        <v>277</v>
      </c>
      <c r="G99" s="392">
        <v>0.06</v>
      </c>
      <c r="H99" s="297">
        <v>0</v>
      </c>
      <c r="I99" s="249" t="s">
        <v>500</v>
      </c>
      <c r="J99" s="269" t="s">
        <v>267</v>
      </c>
      <c r="K99" s="249" t="s">
        <v>499</v>
      </c>
      <c r="L99" s="387" t="s">
        <v>541</v>
      </c>
      <c r="M99" s="387" t="s">
        <v>622</v>
      </c>
      <c r="N99" s="315">
        <v>0.9</v>
      </c>
      <c r="O99" s="369">
        <v>0</v>
      </c>
      <c r="P99" s="369">
        <f>O99/N99</f>
        <v>0</v>
      </c>
      <c r="Q99" s="315">
        <v>0.9</v>
      </c>
      <c r="R99" s="286">
        <f>2100/2100</f>
        <v>1</v>
      </c>
      <c r="S99" s="316">
        <v>1</v>
      </c>
      <c r="T99" s="315">
        <v>0.9</v>
      </c>
      <c r="U99" s="315">
        <v>0.9</v>
      </c>
      <c r="V99" s="415" t="s">
        <v>58</v>
      </c>
      <c r="W99" s="31" t="s">
        <v>316</v>
      </c>
      <c r="X99" s="31"/>
      <c r="Y99" s="31"/>
      <c r="Z99" s="57">
        <f>34*G99</f>
        <v>2.04</v>
      </c>
      <c r="AA99" s="495" t="s">
        <v>319</v>
      </c>
      <c r="AB99" s="3" t="s">
        <v>223</v>
      </c>
      <c r="AC99" s="17">
        <f t="shared" si="14"/>
        <v>0.33333333333333331</v>
      </c>
      <c r="AD99" s="15">
        <v>0</v>
      </c>
      <c r="AE99" s="111">
        <v>0</v>
      </c>
      <c r="AF99" s="18">
        <f t="shared" si="15"/>
        <v>0</v>
      </c>
      <c r="AG99" s="3" t="s">
        <v>223</v>
      </c>
      <c r="AH99" s="17">
        <f t="shared" si="13"/>
        <v>0.33333333333333331</v>
      </c>
      <c r="AI99" s="113">
        <v>1</v>
      </c>
      <c r="AJ99" s="111">
        <v>1</v>
      </c>
      <c r="AK99" s="18">
        <f t="shared" si="16"/>
        <v>0.33333333333333331</v>
      </c>
      <c r="AO99" s="143"/>
      <c r="AP99" s="143"/>
    </row>
    <row r="100" spans="1:42" ht="45" customHeight="1">
      <c r="A100" s="310"/>
      <c r="B100" s="310"/>
      <c r="C100" s="310"/>
      <c r="D100" s="310"/>
      <c r="E100" s="185"/>
      <c r="F100" s="359"/>
      <c r="G100" s="393"/>
      <c r="H100" s="297"/>
      <c r="I100" s="250"/>
      <c r="J100" s="412"/>
      <c r="K100" s="250"/>
      <c r="L100" s="388"/>
      <c r="M100" s="388"/>
      <c r="N100" s="315"/>
      <c r="O100" s="370"/>
      <c r="P100" s="370"/>
      <c r="Q100" s="315"/>
      <c r="R100" s="286"/>
      <c r="S100" s="316"/>
      <c r="T100" s="315"/>
      <c r="U100" s="315"/>
      <c r="V100" s="415"/>
      <c r="W100" s="118" t="s">
        <v>268</v>
      </c>
      <c r="X100" s="58"/>
      <c r="Y100" s="58"/>
      <c r="Z100" s="45">
        <f>33*G99</f>
        <v>1.98</v>
      </c>
      <c r="AA100" s="496"/>
      <c r="AB100" s="3" t="s">
        <v>223</v>
      </c>
      <c r="AC100" s="17">
        <f t="shared" si="14"/>
        <v>0.33333333333333331</v>
      </c>
      <c r="AD100" s="15">
        <v>0</v>
      </c>
      <c r="AE100" s="111">
        <v>0</v>
      </c>
      <c r="AF100" s="18">
        <f t="shared" si="15"/>
        <v>0</v>
      </c>
      <c r="AG100" s="3" t="s">
        <v>223</v>
      </c>
      <c r="AH100" s="17">
        <f t="shared" si="13"/>
        <v>0.33333333333333331</v>
      </c>
      <c r="AI100" s="113">
        <v>1</v>
      </c>
      <c r="AJ100" s="111">
        <v>1</v>
      </c>
      <c r="AK100" s="18">
        <f t="shared" si="16"/>
        <v>0.33333333333333331</v>
      </c>
      <c r="AM100" s="75"/>
      <c r="AN100" s="144"/>
    </row>
    <row r="101" spans="1:42" ht="43.5" customHeight="1">
      <c r="A101" s="310"/>
      <c r="B101" s="310"/>
      <c r="C101" s="310"/>
      <c r="D101" s="310"/>
      <c r="E101" s="185"/>
      <c r="F101" s="359"/>
      <c r="G101" s="394"/>
      <c r="H101" s="297"/>
      <c r="I101" s="251"/>
      <c r="J101" s="270"/>
      <c r="K101" s="251"/>
      <c r="L101" s="389"/>
      <c r="M101" s="389"/>
      <c r="N101" s="315"/>
      <c r="O101" s="371"/>
      <c r="P101" s="371"/>
      <c r="Q101" s="315"/>
      <c r="R101" s="286"/>
      <c r="S101" s="316"/>
      <c r="T101" s="315"/>
      <c r="U101" s="315"/>
      <c r="V101" s="415"/>
      <c r="W101" s="31" t="s">
        <v>269</v>
      </c>
      <c r="X101" s="31"/>
      <c r="Y101" s="31"/>
      <c r="Z101" s="57">
        <f>33*G99</f>
        <v>1.98</v>
      </c>
      <c r="AA101" s="497"/>
      <c r="AB101" s="3" t="s">
        <v>223</v>
      </c>
      <c r="AC101" s="17">
        <f t="shared" si="14"/>
        <v>0.33333333333333331</v>
      </c>
      <c r="AD101" s="15">
        <v>0</v>
      </c>
      <c r="AE101" s="111">
        <v>0</v>
      </c>
      <c r="AF101" s="18">
        <f t="shared" si="15"/>
        <v>0</v>
      </c>
      <c r="AG101" s="3" t="s">
        <v>223</v>
      </c>
      <c r="AH101" s="17">
        <f t="shared" si="13"/>
        <v>0.33333333333333331</v>
      </c>
      <c r="AI101" s="113">
        <v>1</v>
      </c>
      <c r="AJ101" s="111">
        <v>1</v>
      </c>
      <c r="AK101" s="18">
        <f t="shared" si="16"/>
        <v>0.33333333333333331</v>
      </c>
    </row>
    <row r="102" spans="1:42" ht="102.75" customHeight="1">
      <c r="A102" s="310" t="s">
        <v>40</v>
      </c>
      <c r="B102" s="310" t="s">
        <v>43</v>
      </c>
      <c r="C102" s="310" t="s">
        <v>88</v>
      </c>
      <c r="D102" s="310" t="s">
        <v>123</v>
      </c>
      <c r="E102" s="185"/>
      <c r="F102" s="329" t="s">
        <v>154</v>
      </c>
      <c r="G102" s="300">
        <v>0.04</v>
      </c>
      <c r="H102" s="231" t="s">
        <v>125</v>
      </c>
      <c r="I102" s="155" t="s">
        <v>381</v>
      </c>
      <c r="J102" s="291" t="s">
        <v>109</v>
      </c>
      <c r="K102" s="157" t="s">
        <v>386</v>
      </c>
      <c r="L102" s="171" t="s">
        <v>524</v>
      </c>
      <c r="M102" s="171" t="s">
        <v>609</v>
      </c>
      <c r="N102" s="374">
        <v>0.08</v>
      </c>
      <c r="O102" s="186" t="s">
        <v>523</v>
      </c>
      <c r="P102" s="186">
        <v>1</v>
      </c>
      <c r="Q102" s="374">
        <v>0.08</v>
      </c>
      <c r="R102" s="224">
        <f>119/1717</f>
        <v>6.9306930693069313E-2</v>
      </c>
      <c r="S102" s="480">
        <v>1</v>
      </c>
      <c r="T102" s="374">
        <v>0.08</v>
      </c>
      <c r="U102" s="374">
        <v>0.08</v>
      </c>
      <c r="V102" s="231" t="s">
        <v>62</v>
      </c>
      <c r="W102" s="20" t="s">
        <v>134</v>
      </c>
      <c r="X102" s="20" t="s">
        <v>382</v>
      </c>
      <c r="Y102" s="20" t="s">
        <v>383</v>
      </c>
      <c r="Z102" s="53">
        <f>34*G102</f>
        <v>1.36</v>
      </c>
      <c r="AA102" s="463" t="s">
        <v>314</v>
      </c>
      <c r="AB102" s="109" t="s">
        <v>564</v>
      </c>
      <c r="AC102" s="17">
        <f t="shared" si="14"/>
        <v>0.33333333333333331</v>
      </c>
      <c r="AD102" s="116">
        <v>1</v>
      </c>
      <c r="AE102" s="111">
        <v>1</v>
      </c>
      <c r="AF102" s="18">
        <f t="shared" si="15"/>
        <v>0.33333333333333331</v>
      </c>
      <c r="AG102" s="109" t="s">
        <v>564</v>
      </c>
      <c r="AH102" s="17">
        <f t="shared" si="13"/>
        <v>0.33333333333333331</v>
      </c>
      <c r="AI102" s="116">
        <v>1</v>
      </c>
      <c r="AJ102" s="111">
        <v>1</v>
      </c>
      <c r="AK102" s="18">
        <f t="shared" si="16"/>
        <v>0.33333333333333331</v>
      </c>
    </row>
    <row r="103" spans="1:42" ht="101.25" customHeight="1">
      <c r="A103" s="310"/>
      <c r="B103" s="310"/>
      <c r="C103" s="310"/>
      <c r="D103" s="310"/>
      <c r="E103" s="185"/>
      <c r="F103" s="329"/>
      <c r="G103" s="300"/>
      <c r="H103" s="231"/>
      <c r="I103" s="241"/>
      <c r="J103" s="292"/>
      <c r="K103" s="158"/>
      <c r="L103" s="172"/>
      <c r="M103" s="172"/>
      <c r="N103" s="374"/>
      <c r="O103" s="187"/>
      <c r="P103" s="187"/>
      <c r="Q103" s="374"/>
      <c r="R103" s="224"/>
      <c r="S103" s="480"/>
      <c r="T103" s="374"/>
      <c r="U103" s="374"/>
      <c r="V103" s="231"/>
      <c r="W103" s="117" t="s">
        <v>124</v>
      </c>
      <c r="X103" s="65" t="s">
        <v>374</v>
      </c>
      <c r="Y103" s="20" t="s">
        <v>384</v>
      </c>
      <c r="Z103" s="53">
        <f>33*G102</f>
        <v>1.32</v>
      </c>
      <c r="AA103" s="468"/>
      <c r="AB103" s="109" t="s">
        <v>564</v>
      </c>
      <c r="AC103" s="17">
        <f t="shared" si="14"/>
        <v>0.33333333333333331</v>
      </c>
      <c r="AD103" s="116">
        <v>1</v>
      </c>
      <c r="AE103" s="111">
        <v>1</v>
      </c>
      <c r="AF103" s="18">
        <f t="shared" si="15"/>
        <v>0.33333333333333331</v>
      </c>
      <c r="AG103" s="109" t="s">
        <v>564</v>
      </c>
      <c r="AH103" s="17">
        <f t="shared" si="13"/>
        <v>0.33333333333333331</v>
      </c>
      <c r="AI103" s="116">
        <v>1</v>
      </c>
      <c r="AJ103" s="111">
        <v>1</v>
      </c>
      <c r="AK103" s="18">
        <f t="shared" si="16"/>
        <v>0.33333333333333331</v>
      </c>
    </row>
    <row r="104" spans="1:42" ht="54.75" customHeight="1">
      <c r="A104" s="310"/>
      <c r="B104" s="310"/>
      <c r="C104" s="310"/>
      <c r="D104" s="310"/>
      <c r="E104" s="379"/>
      <c r="F104" s="329"/>
      <c r="G104" s="300"/>
      <c r="H104" s="231"/>
      <c r="I104" s="156"/>
      <c r="J104" s="293"/>
      <c r="K104" s="159"/>
      <c r="L104" s="173"/>
      <c r="M104" s="173"/>
      <c r="N104" s="374"/>
      <c r="O104" s="188"/>
      <c r="P104" s="188"/>
      <c r="Q104" s="374"/>
      <c r="R104" s="224"/>
      <c r="S104" s="480"/>
      <c r="T104" s="374"/>
      <c r="U104" s="374"/>
      <c r="V104" s="231"/>
      <c r="W104" s="20" t="s">
        <v>146</v>
      </c>
      <c r="X104" s="20" t="s">
        <v>385</v>
      </c>
      <c r="Y104" s="67" t="s">
        <v>387</v>
      </c>
      <c r="Z104" s="53">
        <f>33*G102</f>
        <v>1.32</v>
      </c>
      <c r="AA104" s="464"/>
      <c r="AB104" s="109" t="s">
        <v>564</v>
      </c>
      <c r="AC104" s="17">
        <f t="shared" si="14"/>
        <v>0.33333333333333331</v>
      </c>
      <c r="AD104" s="116">
        <v>1</v>
      </c>
      <c r="AE104" s="111">
        <v>1</v>
      </c>
      <c r="AF104" s="18">
        <f t="shared" si="15"/>
        <v>0.33333333333333331</v>
      </c>
      <c r="AG104" s="109" t="s">
        <v>564</v>
      </c>
      <c r="AH104" s="17">
        <f t="shared" si="13"/>
        <v>0.33333333333333331</v>
      </c>
      <c r="AI104" s="116">
        <v>1</v>
      </c>
      <c r="AJ104" s="111">
        <v>1</v>
      </c>
      <c r="AK104" s="18">
        <f t="shared" si="16"/>
        <v>0.33333333333333331</v>
      </c>
    </row>
    <row r="105" spans="1:42" ht="75" customHeight="1">
      <c r="A105" s="310"/>
      <c r="B105" s="310"/>
      <c r="C105" s="310"/>
      <c r="D105" s="310" t="s">
        <v>44</v>
      </c>
      <c r="E105" s="155" t="s">
        <v>94</v>
      </c>
      <c r="F105" s="360" t="s">
        <v>237</v>
      </c>
      <c r="G105" s="363">
        <v>0.03</v>
      </c>
      <c r="H105" s="356" t="s">
        <v>33</v>
      </c>
      <c r="I105" s="209" t="s">
        <v>568</v>
      </c>
      <c r="J105" s="325" t="s">
        <v>21</v>
      </c>
      <c r="K105" s="217" t="s">
        <v>166</v>
      </c>
      <c r="L105" s="155" t="s">
        <v>567</v>
      </c>
      <c r="M105" s="155" t="s">
        <v>578</v>
      </c>
      <c r="N105" s="337">
        <v>0.25</v>
      </c>
      <c r="O105" s="256">
        <v>0.25</v>
      </c>
      <c r="P105" s="256">
        <f>O105/N105</f>
        <v>1</v>
      </c>
      <c r="Q105" s="337">
        <v>0.25</v>
      </c>
      <c r="R105" s="337">
        <v>1</v>
      </c>
      <c r="S105" s="402">
        <v>1</v>
      </c>
      <c r="T105" s="337">
        <v>0.25</v>
      </c>
      <c r="U105" s="337">
        <v>0.25</v>
      </c>
      <c r="V105" s="231" t="s">
        <v>62</v>
      </c>
      <c r="W105" s="28" t="s">
        <v>101</v>
      </c>
      <c r="X105" s="28"/>
      <c r="Y105" s="28"/>
      <c r="Z105" s="54">
        <f>50*G105</f>
        <v>1.5</v>
      </c>
      <c r="AA105" s="448" t="s">
        <v>308</v>
      </c>
      <c r="AB105" s="10" t="s">
        <v>224</v>
      </c>
      <c r="AC105" s="17">
        <f t="shared" si="14"/>
        <v>0.5</v>
      </c>
      <c r="AD105" s="116">
        <v>1</v>
      </c>
      <c r="AE105" s="111">
        <v>1</v>
      </c>
      <c r="AF105" s="18">
        <f t="shared" si="15"/>
        <v>0.5</v>
      </c>
      <c r="AG105" s="10" t="s">
        <v>224</v>
      </c>
      <c r="AH105" s="17">
        <f t="shared" si="13"/>
        <v>0.5</v>
      </c>
      <c r="AI105" s="116">
        <v>1</v>
      </c>
      <c r="AJ105" s="111">
        <v>1</v>
      </c>
      <c r="AK105" s="18">
        <f t="shared" si="16"/>
        <v>0.5</v>
      </c>
    </row>
    <row r="106" spans="1:42" ht="60" customHeight="1">
      <c r="A106" s="310"/>
      <c r="B106" s="310"/>
      <c r="C106" s="310"/>
      <c r="D106" s="310"/>
      <c r="E106" s="241"/>
      <c r="F106" s="360"/>
      <c r="G106" s="363"/>
      <c r="H106" s="356"/>
      <c r="I106" s="211"/>
      <c r="J106" s="326"/>
      <c r="K106" s="219"/>
      <c r="L106" s="156"/>
      <c r="M106" s="156"/>
      <c r="N106" s="337"/>
      <c r="O106" s="257"/>
      <c r="P106" s="257"/>
      <c r="Q106" s="337"/>
      <c r="R106" s="337"/>
      <c r="S106" s="402"/>
      <c r="T106" s="337"/>
      <c r="U106" s="337"/>
      <c r="V106" s="231"/>
      <c r="W106" s="28" t="s">
        <v>193</v>
      </c>
      <c r="X106" s="28"/>
      <c r="Y106" s="28"/>
      <c r="Z106" s="54">
        <f>50*G105</f>
        <v>1.5</v>
      </c>
      <c r="AA106" s="449"/>
      <c r="AB106" s="10" t="s">
        <v>224</v>
      </c>
      <c r="AC106" s="17">
        <f t="shared" si="14"/>
        <v>0.5</v>
      </c>
      <c r="AD106" s="116">
        <v>1</v>
      </c>
      <c r="AE106" s="111">
        <v>1</v>
      </c>
      <c r="AF106" s="18">
        <f t="shared" si="15"/>
        <v>0.5</v>
      </c>
      <c r="AG106" s="10" t="s">
        <v>224</v>
      </c>
      <c r="AH106" s="17">
        <f t="shared" si="13"/>
        <v>0.5</v>
      </c>
      <c r="AI106" s="116">
        <v>1</v>
      </c>
      <c r="AJ106" s="111">
        <v>1</v>
      </c>
      <c r="AK106" s="18">
        <f t="shared" si="16"/>
        <v>0.5</v>
      </c>
    </row>
    <row r="107" spans="1:42" ht="39" customHeight="1">
      <c r="A107" s="310"/>
      <c r="B107" s="310"/>
      <c r="C107" s="310"/>
      <c r="D107" s="310" t="s">
        <v>50</v>
      </c>
      <c r="E107" s="241"/>
      <c r="F107" s="357" t="s">
        <v>151</v>
      </c>
      <c r="G107" s="300">
        <v>0.03</v>
      </c>
      <c r="H107" s="252">
        <v>0</v>
      </c>
      <c r="I107" s="237" t="s">
        <v>501</v>
      </c>
      <c r="J107" s="325" t="s">
        <v>52</v>
      </c>
      <c r="K107" s="217" t="s">
        <v>153</v>
      </c>
      <c r="L107" s="417" t="s">
        <v>552</v>
      </c>
      <c r="M107" s="417" t="s">
        <v>612</v>
      </c>
      <c r="N107" s="336">
        <v>0.22500000000000001</v>
      </c>
      <c r="O107" s="372">
        <v>0.5</v>
      </c>
      <c r="P107" s="317">
        <v>1</v>
      </c>
      <c r="Q107" s="336">
        <v>0.22500000000000001</v>
      </c>
      <c r="R107" s="336">
        <v>0.66666666666666663</v>
      </c>
      <c r="S107" s="474">
        <v>1</v>
      </c>
      <c r="T107" s="336">
        <v>0.22500000000000001</v>
      </c>
      <c r="U107" s="336">
        <v>0.22500000000000001</v>
      </c>
      <c r="V107" s="414" t="s">
        <v>62</v>
      </c>
      <c r="W107" s="28" t="s">
        <v>152</v>
      </c>
      <c r="X107" s="28"/>
      <c r="Y107" s="28"/>
      <c r="Z107" s="54">
        <v>50</v>
      </c>
      <c r="AA107" s="448" t="s">
        <v>317</v>
      </c>
      <c r="AB107" s="10" t="s">
        <v>225</v>
      </c>
      <c r="AC107" s="17">
        <f t="shared" si="14"/>
        <v>0.5</v>
      </c>
      <c r="AD107" s="116">
        <v>1</v>
      </c>
      <c r="AE107" s="111">
        <v>1</v>
      </c>
      <c r="AF107" s="18">
        <f t="shared" si="15"/>
        <v>0.5</v>
      </c>
      <c r="AG107" s="10" t="s">
        <v>225</v>
      </c>
      <c r="AH107" s="17">
        <f t="shared" si="13"/>
        <v>0.5</v>
      </c>
      <c r="AI107" s="116">
        <v>1</v>
      </c>
      <c r="AJ107" s="111">
        <v>1</v>
      </c>
      <c r="AK107" s="18">
        <f t="shared" si="16"/>
        <v>0.5</v>
      </c>
    </row>
    <row r="108" spans="1:42" ht="54.75" customHeight="1">
      <c r="A108" s="310"/>
      <c r="B108" s="310"/>
      <c r="C108" s="310"/>
      <c r="D108" s="310"/>
      <c r="E108" s="241"/>
      <c r="F108" s="357"/>
      <c r="G108" s="300"/>
      <c r="H108" s="252"/>
      <c r="I108" s="239"/>
      <c r="J108" s="326"/>
      <c r="K108" s="219"/>
      <c r="L108" s="156"/>
      <c r="M108" s="156"/>
      <c r="N108" s="336"/>
      <c r="O108" s="373"/>
      <c r="P108" s="319"/>
      <c r="Q108" s="336"/>
      <c r="R108" s="336"/>
      <c r="S108" s="474"/>
      <c r="T108" s="336"/>
      <c r="U108" s="336"/>
      <c r="V108" s="414"/>
      <c r="W108" s="28" t="s">
        <v>102</v>
      </c>
      <c r="X108" s="28"/>
      <c r="Y108" s="28"/>
      <c r="Z108" s="54">
        <f>50*G107</f>
        <v>1.5</v>
      </c>
      <c r="AA108" s="449"/>
      <c r="AB108" s="10" t="s">
        <v>225</v>
      </c>
      <c r="AC108" s="17">
        <f t="shared" si="14"/>
        <v>0.5</v>
      </c>
      <c r="AD108" s="116">
        <v>1</v>
      </c>
      <c r="AE108" s="111">
        <v>1</v>
      </c>
      <c r="AF108" s="18">
        <f t="shared" si="15"/>
        <v>0.5</v>
      </c>
      <c r="AG108" s="10" t="s">
        <v>225</v>
      </c>
      <c r="AH108" s="17">
        <f t="shared" si="13"/>
        <v>0.5</v>
      </c>
      <c r="AI108" s="116">
        <v>1</v>
      </c>
      <c r="AJ108" s="111">
        <v>1</v>
      </c>
      <c r="AK108" s="18">
        <f t="shared" si="16"/>
        <v>0.5</v>
      </c>
    </row>
    <row r="109" spans="1:42" ht="56.25" customHeight="1">
      <c r="A109" s="310"/>
      <c r="B109" s="310"/>
      <c r="C109" s="310"/>
      <c r="D109" s="217" t="s">
        <v>95</v>
      </c>
      <c r="E109" s="241"/>
      <c r="F109" s="357" t="s">
        <v>273</v>
      </c>
      <c r="G109" s="300">
        <v>0.03</v>
      </c>
      <c r="H109" s="252" t="s">
        <v>162</v>
      </c>
      <c r="I109" s="237" t="s">
        <v>510</v>
      </c>
      <c r="J109" s="325" t="s">
        <v>107</v>
      </c>
      <c r="K109" s="217" t="s">
        <v>550</v>
      </c>
      <c r="L109" s="217" t="s">
        <v>618</v>
      </c>
      <c r="M109" s="155" t="s">
        <v>619</v>
      </c>
      <c r="N109" s="336">
        <v>0.22500000000000001</v>
      </c>
      <c r="O109" s="317">
        <v>0.22500000000000001</v>
      </c>
      <c r="P109" s="317">
        <f>O109/N109</f>
        <v>1</v>
      </c>
      <c r="Q109" s="336">
        <v>0.22500000000000001</v>
      </c>
      <c r="R109" s="475">
        <v>0.22500000000000001</v>
      </c>
      <c r="S109" s="474">
        <v>1</v>
      </c>
      <c r="T109" s="336">
        <v>0.22500000000000001</v>
      </c>
      <c r="U109" s="336">
        <v>0.22500000000000001</v>
      </c>
      <c r="V109" s="414" t="s">
        <v>62</v>
      </c>
      <c r="W109" s="30" t="s">
        <v>272</v>
      </c>
      <c r="X109" s="30"/>
      <c r="Y109" s="30"/>
      <c r="Z109" s="56">
        <f>34*G109</f>
        <v>1.02</v>
      </c>
      <c r="AA109" s="450" t="s">
        <v>317</v>
      </c>
      <c r="AB109" s="10" t="s">
        <v>226</v>
      </c>
      <c r="AC109" s="17">
        <f t="shared" si="14"/>
        <v>0.33333333333333331</v>
      </c>
      <c r="AD109" s="116">
        <v>1</v>
      </c>
      <c r="AE109" s="111">
        <v>1</v>
      </c>
      <c r="AF109" s="18">
        <f t="shared" si="15"/>
        <v>0.33333333333333331</v>
      </c>
      <c r="AG109" s="10" t="s">
        <v>226</v>
      </c>
      <c r="AH109" s="17">
        <f t="shared" si="13"/>
        <v>0.33333333333333331</v>
      </c>
      <c r="AI109" s="116">
        <v>1</v>
      </c>
      <c r="AJ109" s="111">
        <v>1</v>
      </c>
      <c r="AK109" s="18">
        <f t="shared" si="16"/>
        <v>0.33333333333333331</v>
      </c>
    </row>
    <row r="110" spans="1:42" ht="37.5">
      <c r="A110" s="310"/>
      <c r="B110" s="310"/>
      <c r="C110" s="310"/>
      <c r="D110" s="218"/>
      <c r="E110" s="241"/>
      <c r="F110" s="357"/>
      <c r="G110" s="300"/>
      <c r="H110" s="252"/>
      <c r="I110" s="238"/>
      <c r="J110" s="380"/>
      <c r="K110" s="218"/>
      <c r="L110" s="218"/>
      <c r="M110" s="241"/>
      <c r="N110" s="336"/>
      <c r="O110" s="318"/>
      <c r="P110" s="318"/>
      <c r="Q110" s="336"/>
      <c r="R110" s="476"/>
      <c r="S110" s="474"/>
      <c r="T110" s="336"/>
      <c r="U110" s="336"/>
      <c r="V110" s="414"/>
      <c r="W110" s="28" t="s">
        <v>106</v>
      </c>
      <c r="X110" s="28"/>
      <c r="Y110" s="28"/>
      <c r="Z110" s="54">
        <f>33*G109</f>
        <v>0.99</v>
      </c>
      <c r="AA110" s="451"/>
      <c r="AB110" s="10" t="s">
        <v>226</v>
      </c>
      <c r="AC110" s="17">
        <f t="shared" si="14"/>
        <v>0.33333333333333331</v>
      </c>
      <c r="AD110" s="116">
        <v>1</v>
      </c>
      <c r="AE110" s="111">
        <v>1</v>
      </c>
      <c r="AF110" s="18">
        <f t="shared" si="15"/>
        <v>0.33333333333333331</v>
      </c>
      <c r="AG110" s="10" t="s">
        <v>226</v>
      </c>
      <c r="AH110" s="17">
        <f t="shared" si="13"/>
        <v>0.33333333333333331</v>
      </c>
      <c r="AI110" s="116">
        <v>1</v>
      </c>
      <c r="AJ110" s="111">
        <v>1</v>
      </c>
      <c r="AK110" s="18">
        <f t="shared" si="16"/>
        <v>0.33333333333333331</v>
      </c>
    </row>
    <row r="111" spans="1:42" ht="18.75">
      <c r="A111" s="310"/>
      <c r="B111" s="310"/>
      <c r="C111" s="310"/>
      <c r="D111" s="218"/>
      <c r="E111" s="241"/>
      <c r="F111" s="357"/>
      <c r="G111" s="300"/>
      <c r="H111" s="252"/>
      <c r="I111" s="239"/>
      <c r="J111" s="326"/>
      <c r="K111" s="219"/>
      <c r="L111" s="219"/>
      <c r="M111" s="156"/>
      <c r="N111" s="336"/>
      <c r="O111" s="319"/>
      <c r="P111" s="319"/>
      <c r="Q111" s="336"/>
      <c r="R111" s="477"/>
      <c r="S111" s="474"/>
      <c r="T111" s="336"/>
      <c r="U111" s="336"/>
      <c r="V111" s="414"/>
      <c r="W111" s="28" t="s">
        <v>159</v>
      </c>
      <c r="X111" s="28"/>
      <c r="Y111" s="28"/>
      <c r="Z111" s="54">
        <f>33*G109</f>
        <v>0.99</v>
      </c>
      <c r="AA111" s="452"/>
      <c r="AB111" s="9" t="s">
        <v>226</v>
      </c>
      <c r="AC111" s="17">
        <f t="shared" si="14"/>
        <v>0.33333333333333331</v>
      </c>
      <c r="AD111" s="116">
        <v>1</v>
      </c>
      <c r="AE111" s="111">
        <v>1</v>
      </c>
      <c r="AF111" s="18">
        <f t="shared" si="15"/>
        <v>0.33333333333333331</v>
      </c>
      <c r="AG111" s="9" t="s">
        <v>226</v>
      </c>
      <c r="AH111" s="17">
        <f t="shared" si="13"/>
        <v>0.33333333333333331</v>
      </c>
      <c r="AI111" s="116">
        <v>1</v>
      </c>
      <c r="AJ111" s="111">
        <v>1</v>
      </c>
      <c r="AK111" s="18">
        <f t="shared" si="16"/>
        <v>0.33333333333333331</v>
      </c>
    </row>
    <row r="112" spans="1:42" ht="37.5" customHeight="1">
      <c r="A112" s="310"/>
      <c r="B112" s="310"/>
      <c r="C112" s="310"/>
      <c r="D112" s="218"/>
      <c r="E112" s="241"/>
      <c r="F112" s="357" t="s">
        <v>29</v>
      </c>
      <c r="G112" s="300">
        <v>0.03</v>
      </c>
      <c r="H112" s="268" t="s">
        <v>24</v>
      </c>
      <c r="I112" s="204" t="s">
        <v>477</v>
      </c>
      <c r="J112" s="325" t="s">
        <v>17</v>
      </c>
      <c r="K112" s="155" t="s">
        <v>167</v>
      </c>
      <c r="L112" s="201" t="s">
        <v>542</v>
      </c>
      <c r="M112" s="217" t="s">
        <v>581</v>
      </c>
      <c r="N112" s="226"/>
      <c r="O112" s="320">
        <f>28245191781/27045454345</f>
        <v>1.0443600399792063</v>
      </c>
      <c r="P112" s="322"/>
      <c r="Q112" s="226">
        <v>0.02</v>
      </c>
      <c r="R112" s="226">
        <f>170450959487/162272726070</f>
        <v>1.0503980774530906</v>
      </c>
      <c r="S112" s="478">
        <v>1</v>
      </c>
      <c r="T112" s="226">
        <v>0.02</v>
      </c>
      <c r="U112" s="226">
        <v>0.01</v>
      </c>
      <c r="V112" s="228" t="s">
        <v>62</v>
      </c>
      <c r="W112" s="28" t="s">
        <v>126</v>
      </c>
      <c r="X112" s="71" t="s">
        <v>479</v>
      </c>
      <c r="Y112" s="28"/>
      <c r="Z112" s="54">
        <f>30*G112</f>
        <v>0.89999999999999991</v>
      </c>
      <c r="AA112" s="448" t="s">
        <v>502</v>
      </c>
      <c r="AB112" s="142" t="s">
        <v>227</v>
      </c>
      <c r="AC112" s="17">
        <f t="shared" si="14"/>
        <v>0.5</v>
      </c>
      <c r="AD112" s="15"/>
      <c r="AE112" s="111"/>
      <c r="AF112" s="18">
        <f t="shared" si="15"/>
        <v>0</v>
      </c>
      <c r="AG112" s="142" t="s">
        <v>227</v>
      </c>
      <c r="AH112" s="17">
        <f t="shared" si="13"/>
        <v>0.5</v>
      </c>
      <c r="AI112" s="114">
        <v>1</v>
      </c>
      <c r="AJ112" s="111">
        <v>1</v>
      </c>
      <c r="AK112" s="18">
        <f t="shared" si="16"/>
        <v>0.5</v>
      </c>
    </row>
    <row r="113" spans="1:37" ht="65.25" customHeight="1">
      <c r="A113" s="310"/>
      <c r="B113" s="310"/>
      <c r="C113" s="310"/>
      <c r="D113" s="218"/>
      <c r="E113" s="241"/>
      <c r="F113" s="357"/>
      <c r="G113" s="300"/>
      <c r="H113" s="268"/>
      <c r="I113" s="205"/>
      <c r="J113" s="326"/>
      <c r="K113" s="156"/>
      <c r="L113" s="203"/>
      <c r="M113" s="219"/>
      <c r="N113" s="226"/>
      <c r="O113" s="321"/>
      <c r="P113" s="323"/>
      <c r="Q113" s="226"/>
      <c r="R113" s="226"/>
      <c r="S113" s="479"/>
      <c r="T113" s="226"/>
      <c r="U113" s="226"/>
      <c r="V113" s="228"/>
      <c r="W113" s="20" t="s">
        <v>194</v>
      </c>
      <c r="X113" s="70" t="s">
        <v>480</v>
      </c>
      <c r="Y113" s="20"/>
      <c r="Z113" s="53">
        <f>70*G112</f>
        <v>2.1</v>
      </c>
      <c r="AA113" s="449"/>
      <c r="AB113" s="9" t="s">
        <v>227</v>
      </c>
      <c r="AC113" s="17">
        <f t="shared" si="14"/>
        <v>0.5</v>
      </c>
      <c r="AD113" s="15"/>
      <c r="AE113" s="111"/>
      <c r="AF113" s="18">
        <f t="shared" si="15"/>
        <v>0</v>
      </c>
      <c r="AG113" s="9" t="s">
        <v>227</v>
      </c>
      <c r="AH113" s="17">
        <f t="shared" si="13"/>
        <v>0.5</v>
      </c>
      <c r="AI113" s="114">
        <v>1</v>
      </c>
      <c r="AJ113" s="111">
        <v>1</v>
      </c>
      <c r="AK113" s="18">
        <f t="shared" si="16"/>
        <v>0.5</v>
      </c>
    </row>
    <row r="114" spans="1:37" ht="63" customHeight="1">
      <c r="A114" s="310"/>
      <c r="B114" s="310"/>
      <c r="C114" s="310"/>
      <c r="D114" s="218"/>
      <c r="E114" s="241" t="s">
        <v>94</v>
      </c>
      <c r="F114" s="357" t="s">
        <v>127</v>
      </c>
      <c r="G114" s="300">
        <v>0.02</v>
      </c>
      <c r="H114" s="236" t="s">
        <v>35</v>
      </c>
      <c r="I114" s="206" t="s">
        <v>477</v>
      </c>
      <c r="J114" s="325" t="s">
        <v>18</v>
      </c>
      <c r="K114" s="155" t="s">
        <v>168</v>
      </c>
      <c r="L114" s="155" t="s">
        <v>543</v>
      </c>
      <c r="M114" s="155" t="s">
        <v>583</v>
      </c>
      <c r="N114" s="226">
        <v>0.87</v>
      </c>
      <c r="O114" s="322">
        <f>59531077960/72987388000</f>
        <v>0.81563513356581552</v>
      </c>
      <c r="P114" s="322">
        <f>O114/N114</f>
        <v>0.93751164777679941</v>
      </c>
      <c r="Q114" s="226">
        <v>0.87</v>
      </c>
      <c r="R114" s="445">
        <f>71277749127/75209942859.25</f>
        <v>0.94771710251650076</v>
      </c>
      <c r="S114" s="254">
        <v>1</v>
      </c>
      <c r="T114" s="226">
        <v>0.87</v>
      </c>
      <c r="U114" s="226">
        <v>0.87</v>
      </c>
      <c r="V114" s="228" t="s">
        <v>62</v>
      </c>
      <c r="W114" s="32" t="s">
        <v>128</v>
      </c>
      <c r="X114" s="135" t="s">
        <v>478</v>
      </c>
      <c r="Y114" s="32"/>
      <c r="Z114" s="53">
        <f>40*G114</f>
        <v>0.8</v>
      </c>
      <c r="AA114" s="325" t="s">
        <v>502</v>
      </c>
      <c r="AB114" s="3" t="s">
        <v>228</v>
      </c>
      <c r="AC114" s="17">
        <f t="shared" si="14"/>
        <v>0.33333333333333331</v>
      </c>
      <c r="AD114" s="116">
        <v>0.94</v>
      </c>
      <c r="AE114" s="111">
        <v>1</v>
      </c>
      <c r="AF114" s="18">
        <f t="shared" si="15"/>
        <v>0.3133333333333333</v>
      </c>
      <c r="AG114" s="3" t="s">
        <v>228</v>
      </c>
      <c r="AH114" s="17">
        <f t="shared" si="13"/>
        <v>0.33333333333333331</v>
      </c>
      <c r="AI114" s="116">
        <v>0.95</v>
      </c>
      <c r="AJ114" s="111">
        <v>1</v>
      </c>
      <c r="AK114" s="18">
        <f t="shared" si="16"/>
        <v>0.31666666666666665</v>
      </c>
    </row>
    <row r="115" spans="1:37" ht="37.5">
      <c r="A115" s="310"/>
      <c r="B115" s="310"/>
      <c r="C115" s="310"/>
      <c r="D115" s="218"/>
      <c r="E115" s="241"/>
      <c r="F115" s="357"/>
      <c r="G115" s="300"/>
      <c r="H115" s="236"/>
      <c r="I115" s="207"/>
      <c r="J115" s="380"/>
      <c r="K115" s="241"/>
      <c r="L115" s="241"/>
      <c r="M115" s="241"/>
      <c r="N115" s="228"/>
      <c r="O115" s="324"/>
      <c r="P115" s="324"/>
      <c r="Q115" s="228"/>
      <c r="R115" s="446"/>
      <c r="S115" s="255"/>
      <c r="T115" s="228"/>
      <c r="U115" s="228"/>
      <c r="V115" s="228"/>
      <c r="W115" s="32" t="s">
        <v>129</v>
      </c>
      <c r="X115" s="135" t="s">
        <v>478</v>
      </c>
      <c r="Y115" s="32"/>
      <c r="Z115" s="53">
        <f>30*G114</f>
        <v>0.6</v>
      </c>
      <c r="AA115" s="380"/>
      <c r="AB115" s="3" t="s">
        <v>228</v>
      </c>
      <c r="AC115" s="17">
        <f t="shared" si="14"/>
        <v>0.33333333333333331</v>
      </c>
      <c r="AD115" s="116">
        <v>0.94</v>
      </c>
      <c r="AE115" s="111">
        <v>1</v>
      </c>
      <c r="AF115" s="18">
        <f t="shared" si="15"/>
        <v>0.3133333333333333</v>
      </c>
      <c r="AG115" s="3" t="s">
        <v>228</v>
      </c>
      <c r="AH115" s="17">
        <f t="shared" si="13"/>
        <v>0.33333333333333331</v>
      </c>
      <c r="AI115" s="116">
        <v>0.95</v>
      </c>
      <c r="AJ115" s="111">
        <v>1</v>
      </c>
      <c r="AK115" s="18">
        <f t="shared" si="16"/>
        <v>0.31666666666666665</v>
      </c>
    </row>
    <row r="116" spans="1:37" ht="37.5">
      <c r="A116" s="310"/>
      <c r="B116" s="310"/>
      <c r="C116" s="310"/>
      <c r="D116" s="218"/>
      <c r="E116" s="241"/>
      <c r="F116" s="357"/>
      <c r="G116" s="300"/>
      <c r="H116" s="236"/>
      <c r="I116" s="208"/>
      <c r="J116" s="326"/>
      <c r="K116" s="156"/>
      <c r="L116" s="156"/>
      <c r="M116" s="156"/>
      <c r="N116" s="228"/>
      <c r="O116" s="323"/>
      <c r="P116" s="323"/>
      <c r="Q116" s="228"/>
      <c r="R116" s="447"/>
      <c r="S116" s="255"/>
      <c r="T116" s="228"/>
      <c r="U116" s="228"/>
      <c r="V116" s="228"/>
      <c r="W116" s="32" t="s">
        <v>130</v>
      </c>
      <c r="X116" s="32" t="s">
        <v>478</v>
      </c>
      <c r="Y116" s="32"/>
      <c r="Z116" s="53">
        <f>30*G114</f>
        <v>0.6</v>
      </c>
      <c r="AA116" s="326"/>
      <c r="AB116" s="3" t="s">
        <v>228</v>
      </c>
      <c r="AC116" s="17">
        <f t="shared" si="14"/>
        <v>0.33333333333333331</v>
      </c>
      <c r="AD116" s="116">
        <v>0.94</v>
      </c>
      <c r="AE116" s="111">
        <v>1</v>
      </c>
      <c r="AF116" s="18">
        <f t="shared" si="15"/>
        <v>0.3133333333333333</v>
      </c>
      <c r="AG116" s="3" t="s">
        <v>228</v>
      </c>
      <c r="AH116" s="17">
        <f t="shared" si="13"/>
        <v>0.33333333333333331</v>
      </c>
      <c r="AI116" s="116">
        <v>0.95</v>
      </c>
      <c r="AJ116" s="111">
        <v>1</v>
      </c>
      <c r="AK116" s="18">
        <f t="shared" si="16"/>
        <v>0.31666666666666665</v>
      </c>
    </row>
    <row r="117" spans="1:37" ht="78.75" customHeight="1">
      <c r="A117" s="310" t="s">
        <v>40</v>
      </c>
      <c r="B117" s="310" t="s">
        <v>43</v>
      </c>
      <c r="C117" s="310" t="s">
        <v>118</v>
      </c>
      <c r="D117" s="218"/>
      <c r="E117" s="241"/>
      <c r="F117" s="357" t="s">
        <v>119</v>
      </c>
      <c r="G117" s="300">
        <v>0.02</v>
      </c>
      <c r="H117" s="358" t="s">
        <v>26</v>
      </c>
      <c r="I117" s="327" t="s">
        <v>477</v>
      </c>
      <c r="J117" s="325" t="s">
        <v>19</v>
      </c>
      <c r="K117" s="155" t="s">
        <v>169</v>
      </c>
      <c r="L117" s="155" t="s">
        <v>544</v>
      </c>
      <c r="M117" s="155" t="s">
        <v>584</v>
      </c>
      <c r="N117" s="381">
        <v>3.0000000000000001E-3</v>
      </c>
      <c r="O117" s="192">
        <v>0</v>
      </c>
      <c r="P117" s="192">
        <v>1</v>
      </c>
      <c r="Q117" s="381">
        <v>3.0000000000000001E-3</v>
      </c>
      <c r="R117" s="397">
        <f>185141850/85715384144</f>
        <v>2.159960570076495E-3</v>
      </c>
      <c r="S117" s="399">
        <v>1</v>
      </c>
      <c r="T117" s="381">
        <v>5.0000000000000001E-3</v>
      </c>
      <c r="U117" s="225">
        <v>0.01</v>
      </c>
      <c r="V117" s="228" t="s">
        <v>62</v>
      </c>
      <c r="W117" s="20" t="s">
        <v>86</v>
      </c>
      <c r="X117" s="20" t="s">
        <v>482</v>
      </c>
      <c r="Y117" s="20"/>
      <c r="Z117" s="53">
        <f>60*G117</f>
        <v>1.2</v>
      </c>
      <c r="AA117" s="325" t="s">
        <v>502</v>
      </c>
      <c r="AB117" s="3" t="s">
        <v>229</v>
      </c>
      <c r="AC117" s="17">
        <f t="shared" si="14"/>
        <v>0.5</v>
      </c>
      <c r="AD117" s="116">
        <v>1</v>
      </c>
      <c r="AE117" s="111">
        <v>1</v>
      </c>
      <c r="AF117" s="18">
        <f t="shared" si="15"/>
        <v>0.5</v>
      </c>
      <c r="AG117" s="3" t="s">
        <v>229</v>
      </c>
      <c r="AH117" s="17">
        <f t="shared" si="13"/>
        <v>0.5</v>
      </c>
      <c r="AI117" s="116">
        <v>1</v>
      </c>
      <c r="AJ117" s="111">
        <v>1</v>
      </c>
      <c r="AK117" s="18">
        <f t="shared" si="16"/>
        <v>0.5</v>
      </c>
    </row>
    <row r="118" spans="1:37" ht="18.75">
      <c r="A118" s="310"/>
      <c r="B118" s="310"/>
      <c r="C118" s="310"/>
      <c r="D118" s="218"/>
      <c r="E118" s="241"/>
      <c r="F118" s="357"/>
      <c r="G118" s="300"/>
      <c r="H118" s="358"/>
      <c r="I118" s="328"/>
      <c r="J118" s="326"/>
      <c r="K118" s="156"/>
      <c r="L118" s="156"/>
      <c r="M118" s="156"/>
      <c r="N118" s="381"/>
      <c r="O118" s="194"/>
      <c r="P118" s="194"/>
      <c r="Q118" s="381"/>
      <c r="R118" s="398"/>
      <c r="S118" s="399"/>
      <c r="T118" s="381"/>
      <c r="U118" s="225"/>
      <c r="V118" s="228"/>
      <c r="W118" s="20" t="s">
        <v>87</v>
      </c>
      <c r="X118" s="20" t="s">
        <v>481</v>
      </c>
      <c r="Y118" s="20"/>
      <c r="Z118" s="53">
        <f>40*G117</f>
        <v>0.8</v>
      </c>
      <c r="AA118" s="326"/>
      <c r="AB118" s="3" t="s">
        <v>229</v>
      </c>
      <c r="AC118" s="17">
        <f t="shared" si="14"/>
        <v>0.5</v>
      </c>
      <c r="AD118" s="116">
        <v>1</v>
      </c>
      <c r="AE118" s="111">
        <v>1</v>
      </c>
      <c r="AF118" s="18">
        <f t="shared" si="15"/>
        <v>0.5</v>
      </c>
      <c r="AG118" s="3" t="s">
        <v>229</v>
      </c>
      <c r="AH118" s="17">
        <f t="shared" si="13"/>
        <v>0.5</v>
      </c>
      <c r="AI118" s="116">
        <v>1</v>
      </c>
      <c r="AJ118" s="111">
        <v>1</v>
      </c>
      <c r="AK118" s="18">
        <f t="shared" si="16"/>
        <v>0.5</v>
      </c>
    </row>
    <row r="119" spans="1:37" ht="60" customHeight="1">
      <c r="A119" s="310"/>
      <c r="B119" s="310"/>
      <c r="C119" s="310"/>
      <c r="D119" s="218" t="s">
        <v>95</v>
      </c>
      <c r="E119" s="241"/>
      <c r="F119" s="357" t="s">
        <v>103</v>
      </c>
      <c r="G119" s="300">
        <v>0.03</v>
      </c>
      <c r="H119" s="396" t="s">
        <v>65</v>
      </c>
      <c r="I119" s="376" t="s">
        <v>477</v>
      </c>
      <c r="J119" s="325" t="s">
        <v>20</v>
      </c>
      <c r="K119" s="155" t="s">
        <v>170</v>
      </c>
      <c r="L119" s="155" t="s">
        <v>545</v>
      </c>
      <c r="M119" s="155" t="s">
        <v>585</v>
      </c>
      <c r="N119" s="224">
        <v>0.22500000000000001</v>
      </c>
      <c r="O119" s="408">
        <v>0.22500000000000001</v>
      </c>
      <c r="P119" s="408">
        <f>O119/N119</f>
        <v>1</v>
      </c>
      <c r="Q119" s="224">
        <v>0.22500000000000001</v>
      </c>
      <c r="R119" s="224">
        <v>0.22500000000000001</v>
      </c>
      <c r="S119" s="403">
        <v>1</v>
      </c>
      <c r="T119" s="224">
        <v>0.22500000000000001</v>
      </c>
      <c r="U119" s="224">
        <v>0.22500000000000001</v>
      </c>
      <c r="V119" s="228" t="s">
        <v>62</v>
      </c>
      <c r="W119" s="31" t="s">
        <v>270</v>
      </c>
      <c r="X119" s="31" t="s">
        <v>485</v>
      </c>
      <c r="Y119" s="31"/>
      <c r="Z119" s="57">
        <f>20*G119</f>
        <v>0.6</v>
      </c>
      <c r="AA119" s="495" t="s">
        <v>502</v>
      </c>
      <c r="AB119" s="3" t="s">
        <v>230</v>
      </c>
      <c r="AC119" s="17">
        <f t="shared" si="14"/>
        <v>0.25</v>
      </c>
      <c r="AD119" s="116">
        <v>1</v>
      </c>
      <c r="AE119" s="111">
        <v>1</v>
      </c>
      <c r="AF119" s="18">
        <f t="shared" si="15"/>
        <v>0.25</v>
      </c>
      <c r="AG119" s="3" t="s">
        <v>230</v>
      </c>
      <c r="AH119" s="17">
        <f t="shared" si="13"/>
        <v>0.25</v>
      </c>
      <c r="AI119" s="116">
        <v>1</v>
      </c>
      <c r="AJ119" s="111">
        <v>1</v>
      </c>
      <c r="AK119" s="18">
        <f t="shared" si="16"/>
        <v>0.25</v>
      </c>
    </row>
    <row r="120" spans="1:37" ht="53.25" customHeight="1">
      <c r="A120" s="310"/>
      <c r="B120" s="310"/>
      <c r="C120" s="310"/>
      <c r="D120" s="218"/>
      <c r="E120" s="241"/>
      <c r="F120" s="357"/>
      <c r="G120" s="300"/>
      <c r="H120" s="396"/>
      <c r="I120" s="377"/>
      <c r="J120" s="380"/>
      <c r="K120" s="241"/>
      <c r="L120" s="241"/>
      <c r="M120" s="241"/>
      <c r="N120" s="224"/>
      <c r="O120" s="409"/>
      <c r="P120" s="409"/>
      <c r="Q120" s="224"/>
      <c r="R120" s="224"/>
      <c r="S120" s="403"/>
      <c r="T120" s="224"/>
      <c r="U120" s="224"/>
      <c r="V120" s="228"/>
      <c r="W120" s="20" t="s">
        <v>271</v>
      </c>
      <c r="X120" s="20" t="s">
        <v>483</v>
      </c>
      <c r="Y120" s="20"/>
      <c r="Z120" s="53">
        <f>20*G119</f>
        <v>0.6</v>
      </c>
      <c r="AA120" s="496"/>
      <c r="AB120" s="3" t="s">
        <v>230</v>
      </c>
      <c r="AC120" s="17">
        <f t="shared" si="14"/>
        <v>0.25</v>
      </c>
      <c r="AD120" s="116">
        <v>1</v>
      </c>
      <c r="AE120" s="111">
        <v>1</v>
      </c>
      <c r="AF120" s="18">
        <f t="shared" si="15"/>
        <v>0.25</v>
      </c>
      <c r="AG120" s="3" t="s">
        <v>230</v>
      </c>
      <c r="AH120" s="17">
        <f t="shared" si="13"/>
        <v>0.25</v>
      </c>
      <c r="AI120" s="116">
        <v>1</v>
      </c>
      <c r="AJ120" s="111">
        <v>1</v>
      </c>
      <c r="AK120" s="18">
        <f t="shared" si="16"/>
        <v>0.25</v>
      </c>
    </row>
    <row r="121" spans="1:37" ht="42" customHeight="1">
      <c r="A121" s="310"/>
      <c r="B121" s="310"/>
      <c r="C121" s="310"/>
      <c r="D121" s="218"/>
      <c r="E121" s="241"/>
      <c r="F121" s="357"/>
      <c r="G121" s="300"/>
      <c r="H121" s="396"/>
      <c r="I121" s="377"/>
      <c r="J121" s="380"/>
      <c r="K121" s="241"/>
      <c r="L121" s="241"/>
      <c r="M121" s="241"/>
      <c r="N121" s="224"/>
      <c r="O121" s="409"/>
      <c r="P121" s="409"/>
      <c r="Q121" s="224"/>
      <c r="R121" s="224"/>
      <c r="S121" s="403"/>
      <c r="T121" s="224"/>
      <c r="U121" s="224"/>
      <c r="V121" s="228"/>
      <c r="W121" s="20" t="s">
        <v>120</v>
      </c>
      <c r="X121" s="20" t="s">
        <v>483</v>
      </c>
      <c r="Y121" s="20"/>
      <c r="Z121" s="53">
        <f>45*G119</f>
        <v>1.3499999999999999</v>
      </c>
      <c r="AA121" s="496"/>
      <c r="AB121" s="3" t="s">
        <v>230</v>
      </c>
      <c r="AC121" s="17">
        <f t="shared" si="14"/>
        <v>0.25</v>
      </c>
      <c r="AD121" s="116">
        <v>1</v>
      </c>
      <c r="AE121" s="111">
        <v>1</v>
      </c>
      <c r="AF121" s="18">
        <f t="shared" si="15"/>
        <v>0.25</v>
      </c>
      <c r="AG121" s="3" t="s">
        <v>230</v>
      </c>
      <c r="AH121" s="17">
        <f t="shared" si="13"/>
        <v>0.25</v>
      </c>
      <c r="AI121" s="116">
        <v>1</v>
      </c>
      <c r="AJ121" s="111">
        <v>1</v>
      </c>
      <c r="AK121" s="18">
        <f t="shared" si="16"/>
        <v>0.25</v>
      </c>
    </row>
    <row r="122" spans="1:37" ht="37.5">
      <c r="A122" s="310"/>
      <c r="B122" s="310"/>
      <c r="C122" s="310"/>
      <c r="D122" s="219"/>
      <c r="E122" s="241"/>
      <c r="F122" s="357"/>
      <c r="G122" s="300"/>
      <c r="H122" s="396"/>
      <c r="I122" s="378"/>
      <c r="J122" s="326"/>
      <c r="K122" s="156"/>
      <c r="L122" s="156"/>
      <c r="M122" s="156"/>
      <c r="N122" s="224"/>
      <c r="O122" s="410"/>
      <c r="P122" s="410"/>
      <c r="Q122" s="224"/>
      <c r="R122" s="224"/>
      <c r="S122" s="403"/>
      <c r="T122" s="224"/>
      <c r="U122" s="224"/>
      <c r="V122" s="228"/>
      <c r="W122" s="20" t="s">
        <v>104</v>
      </c>
      <c r="X122" s="20" t="s">
        <v>484</v>
      </c>
      <c r="Y122" s="20"/>
      <c r="Z122" s="53">
        <f>15*G119</f>
        <v>0.44999999999999996</v>
      </c>
      <c r="AA122" s="497"/>
      <c r="AB122" s="3" t="s">
        <v>230</v>
      </c>
      <c r="AC122" s="17">
        <f t="shared" si="14"/>
        <v>0.25</v>
      </c>
      <c r="AD122" s="116">
        <v>1</v>
      </c>
      <c r="AE122" s="111">
        <v>1</v>
      </c>
      <c r="AF122" s="18">
        <f t="shared" si="15"/>
        <v>0.25</v>
      </c>
      <c r="AG122" s="3" t="s">
        <v>230</v>
      </c>
      <c r="AH122" s="17">
        <f t="shared" si="13"/>
        <v>0.25</v>
      </c>
      <c r="AI122" s="116">
        <v>1</v>
      </c>
      <c r="AJ122" s="111">
        <v>1</v>
      </c>
      <c r="AK122" s="18">
        <f t="shared" si="16"/>
        <v>0.25</v>
      </c>
    </row>
    <row r="123" spans="1:37" ht="75" customHeight="1">
      <c r="A123" s="310"/>
      <c r="B123" s="310"/>
      <c r="C123" s="310"/>
      <c r="D123" s="310" t="s">
        <v>117</v>
      </c>
      <c r="E123" s="241"/>
      <c r="F123" s="360" t="s">
        <v>238</v>
      </c>
      <c r="G123" s="363">
        <v>0.02</v>
      </c>
      <c r="H123" s="411">
        <v>0</v>
      </c>
      <c r="I123" s="184" t="s">
        <v>477</v>
      </c>
      <c r="J123" s="325" t="s">
        <v>331</v>
      </c>
      <c r="K123" s="442" t="s">
        <v>164</v>
      </c>
      <c r="L123" s="418"/>
      <c r="M123" s="217" t="s">
        <v>610</v>
      </c>
      <c r="N123" s="381"/>
      <c r="O123" s="189"/>
      <c r="P123" s="192"/>
      <c r="Q123" s="225">
        <v>0.1</v>
      </c>
      <c r="R123" s="227">
        <f>3300000000/21798660502</f>
        <v>0.15138544864705009</v>
      </c>
      <c r="S123" s="402">
        <v>1</v>
      </c>
      <c r="T123" s="225">
        <v>0.2</v>
      </c>
      <c r="U123" s="225">
        <v>0.2</v>
      </c>
      <c r="V123" s="411" t="s">
        <v>58</v>
      </c>
      <c r="W123" s="25" t="s">
        <v>78</v>
      </c>
      <c r="X123" s="25"/>
      <c r="Y123" s="25"/>
      <c r="Z123" s="51">
        <f>34*G123</f>
        <v>0.68</v>
      </c>
      <c r="AA123" s="345" t="s">
        <v>318</v>
      </c>
      <c r="AB123" s="3" t="s">
        <v>231</v>
      </c>
      <c r="AC123" s="17">
        <f t="shared" si="14"/>
        <v>0.33333333333333331</v>
      </c>
      <c r="AD123" s="15"/>
      <c r="AE123" s="111"/>
      <c r="AF123" s="18">
        <f t="shared" si="15"/>
        <v>0</v>
      </c>
      <c r="AG123" s="3" t="s">
        <v>231</v>
      </c>
      <c r="AH123" s="17">
        <f t="shared" si="13"/>
        <v>0.33333333333333331</v>
      </c>
      <c r="AI123" s="113">
        <v>1</v>
      </c>
      <c r="AJ123" s="111">
        <v>1</v>
      </c>
      <c r="AK123" s="18">
        <f t="shared" si="16"/>
        <v>0.33333333333333331</v>
      </c>
    </row>
    <row r="124" spans="1:37" ht="57" customHeight="1">
      <c r="A124" s="310"/>
      <c r="B124" s="310"/>
      <c r="C124" s="310"/>
      <c r="D124" s="310"/>
      <c r="E124" s="241"/>
      <c r="F124" s="360"/>
      <c r="G124" s="363"/>
      <c r="H124" s="411"/>
      <c r="I124" s="185"/>
      <c r="J124" s="380"/>
      <c r="K124" s="443"/>
      <c r="L124" s="418"/>
      <c r="M124" s="218"/>
      <c r="N124" s="381"/>
      <c r="O124" s="190"/>
      <c r="P124" s="193"/>
      <c r="Q124" s="225"/>
      <c r="R124" s="227"/>
      <c r="S124" s="402"/>
      <c r="T124" s="225"/>
      <c r="U124" s="225"/>
      <c r="V124" s="411"/>
      <c r="W124" s="25" t="s">
        <v>79</v>
      </c>
      <c r="X124" s="25"/>
      <c r="Y124" s="25"/>
      <c r="Z124" s="51">
        <f>33*G123</f>
        <v>0.66</v>
      </c>
      <c r="AA124" s="346"/>
      <c r="AB124" s="3" t="s">
        <v>231</v>
      </c>
      <c r="AC124" s="17">
        <f t="shared" si="14"/>
        <v>0.33333333333333331</v>
      </c>
      <c r="AD124" s="15"/>
      <c r="AE124" s="111"/>
      <c r="AF124" s="18">
        <f t="shared" si="15"/>
        <v>0</v>
      </c>
      <c r="AG124" s="3" t="s">
        <v>231</v>
      </c>
      <c r="AH124" s="17">
        <f t="shared" si="13"/>
        <v>0.33333333333333331</v>
      </c>
      <c r="AI124" s="113">
        <v>1</v>
      </c>
      <c r="AJ124" s="111">
        <v>1</v>
      </c>
      <c r="AK124" s="18">
        <f t="shared" si="16"/>
        <v>0.33333333333333331</v>
      </c>
    </row>
    <row r="125" spans="1:37" ht="109.5" customHeight="1">
      <c r="A125" s="310"/>
      <c r="B125" s="310"/>
      <c r="C125" s="310"/>
      <c r="D125" s="310"/>
      <c r="E125" s="241"/>
      <c r="F125" s="360"/>
      <c r="G125" s="363"/>
      <c r="H125" s="411"/>
      <c r="I125" s="379"/>
      <c r="J125" s="326"/>
      <c r="K125" s="444"/>
      <c r="L125" s="418"/>
      <c r="M125" s="219"/>
      <c r="N125" s="381"/>
      <c r="O125" s="191"/>
      <c r="P125" s="194"/>
      <c r="Q125" s="225"/>
      <c r="R125" s="227"/>
      <c r="S125" s="402"/>
      <c r="T125" s="225"/>
      <c r="U125" s="225"/>
      <c r="V125" s="411"/>
      <c r="W125" s="25" t="s">
        <v>80</v>
      </c>
      <c r="X125" s="25"/>
      <c r="Y125" s="25"/>
      <c r="Z125" s="51">
        <f>33*G123</f>
        <v>0.66</v>
      </c>
      <c r="AA125" s="347"/>
      <c r="AB125" s="3" t="s">
        <v>231</v>
      </c>
      <c r="AC125" s="17">
        <f t="shared" si="14"/>
        <v>0.33333333333333331</v>
      </c>
      <c r="AD125" s="15"/>
      <c r="AE125" s="111"/>
      <c r="AF125" s="18">
        <f t="shared" si="15"/>
        <v>0</v>
      </c>
      <c r="AG125" s="3" t="s">
        <v>231</v>
      </c>
      <c r="AH125" s="17">
        <f t="shared" si="13"/>
        <v>0.33333333333333331</v>
      </c>
      <c r="AI125" s="113">
        <v>1</v>
      </c>
      <c r="AJ125" s="111">
        <v>1</v>
      </c>
      <c r="AK125" s="18">
        <f t="shared" si="16"/>
        <v>0.33333333333333331</v>
      </c>
    </row>
    <row r="126" spans="1:37" ht="114" customHeight="1">
      <c r="A126" s="310"/>
      <c r="B126" s="310"/>
      <c r="C126" s="310"/>
      <c r="D126" s="310"/>
      <c r="E126" s="241"/>
      <c r="F126" s="357" t="s">
        <v>239</v>
      </c>
      <c r="G126" s="300">
        <v>0.01</v>
      </c>
      <c r="H126" s="411">
        <v>0</v>
      </c>
      <c r="I126" s="184" t="s">
        <v>477</v>
      </c>
      <c r="J126" s="325" t="s">
        <v>53</v>
      </c>
      <c r="K126" s="325" t="s">
        <v>165</v>
      </c>
      <c r="L126" s="418"/>
      <c r="M126" s="217">
        <v>0</v>
      </c>
      <c r="N126" s="223"/>
      <c r="O126" s="404"/>
      <c r="P126" s="406"/>
      <c r="Q126" s="223">
        <v>0.1</v>
      </c>
      <c r="R126" s="400">
        <v>0</v>
      </c>
      <c r="S126" s="401">
        <v>0</v>
      </c>
      <c r="T126" s="223">
        <v>0.15</v>
      </c>
      <c r="U126" s="223">
        <v>0.15</v>
      </c>
      <c r="V126" s="231" t="s">
        <v>58</v>
      </c>
      <c r="W126" s="25" t="s">
        <v>81</v>
      </c>
      <c r="X126" s="25"/>
      <c r="Y126" s="25"/>
      <c r="Z126" s="51">
        <f>50*G126</f>
        <v>0.5</v>
      </c>
      <c r="AA126" s="345" t="s">
        <v>318</v>
      </c>
      <c r="AB126" s="3" t="s">
        <v>232</v>
      </c>
      <c r="AC126" s="17">
        <f t="shared" si="14"/>
        <v>0.5</v>
      </c>
      <c r="AD126" s="15"/>
      <c r="AE126" s="111"/>
      <c r="AF126" s="18">
        <f t="shared" si="15"/>
        <v>0</v>
      </c>
      <c r="AG126" s="3" t="s">
        <v>232</v>
      </c>
      <c r="AH126" s="17">
        <f t="shared" si="13"/>
        <v>0.5</v>
      </c>
      <c r="AI126" s="113">
        <v>0</v>
      </c>
      <c r="AJ126" s="111">
        <v>1</v>
      </c>
      <c r="AK126" s="18">
        <f t="shared" si="16"/>
        <v>0</v>
      </c>
    </row>
    <row r="127" spans="1:37" ht="61.5" customHeight="1">
      <c r="A127" s="310"/>
      <c r="B127" s="310"/>
      <c r="C127" s="310"/>
      <c r="D127" s="310"/>
      <c r="E127" s="241"/>
      <c r="F127" s="357"/>
      <c r="G127" s="300"/>
      <c r="H127" s="411"/>
      <c r="I127" s="379"/>
      <c r="J127" s="326"/>
      <c r="K127" s="326"/>
      <c r="L127" s="418"/>
      <c r="M127" s="219"/>
      <c r="N127" s="223"/>
      <c r="O127" s="405"/>
      <c r="P127" s="407"/>
      <c r="Q127" s="223"/>
      <c r="R127" s="400"/>
      <c r="S127" s="401"/>
      <c r="T127" s="223"/>
      <c r="U127" s="223"/>
      <c r="V127" s="231"/>
      <c r="W127" s="25" t="s">
        <v>82</v>
      </c>
      <c r="X127" s="25"/>
      <c r="Y127" s="25"/>
      <c r="Z127" s="51">
        <f>50*G126</f>
        <v>0.5</v>
      </c>
      <c r="AA127" s="347"/>
      <c r="AB127" s="3" t="s">
        <v>232</v>
      </c>
      <c r="AC127" s="17">
        <f t="shared" si="14"/>
        <v>0.5</v>
      </c>
      <c r="AD127" s="15"/>
      <c r="AE127" s="111"/>
      <c r="AF127" s="18">
        <f t="shared" si="15"/>
        <v>0</v>
      </c>
      <c r="AG127" s="3" t="s">
        <v>232</v>
      </c>
      <c r="AH127" s="17">
        <f t="shared" si="13"/>
        <v>0.5</v>
      </c>
      <c r="AI127" s="113">
        <v>0</v>
      </c>
      <c r="AJ127" s="111">
        <v>1</v>
      </c>
      <c r="AK127" s="18">
        <f t="shared" si="16"/>
        <v>0</v>
      </c>
    </row>
    <row r="128" spans="1:37" ht="79.5" customHeight="1">
      <c r="A128" s="310"/>
      <c r="B128" s="310"/>
      <c r="C128" s="310"/>
      <c r="D128" s="41" t="s">
        <v>95</v>
      </c>
      <c r="E128" s="156"/>
      <c r="F128" s="105" t="s">
        <v>66</v>
      </c>
      <c r="G128" s="141">
        <v>0.03</v>
      </c>
      <c r="H128" s="42" t="s">
        <v>27</v>
      </c>
      <c r="I128" s="60" t="s">
        <v>477</v>
      </c>
      <c r="J128" s="38" t="s">
        <v>9</v>
      </c>
      <c r="K128" s="20" t="s">
        <v>533</v>
      </c>
      <c r="L128" s="102" t="s">
        <v>548</v>
      </c>
      <c r="M128" s="133" t="s">
        <v>586</v>
      </c>
      <c r="N128" s="34"/>
      <c r="O128" s="103">
        <f>96991053294/187124178365</f>
        <v>0.51832453796970879</v>
      </c>
      <c r="P128" s="72"/>
      <c r="Q128" s="148"/>
      <c r="R128" s="103">
        <f>177761690815/265266770624</f>
        <v>0.670124231530555</v>
      </c>
      <c r="S128" s="148"/>
      <c r="T128" s="34"/>
      <c r="U128" s="33" t="s">
        <v>67</v>
      </c>
      <c r="V128" s="34" t="s">
        <v>68</v>
      </c>
      <c r="W128" s="37" t="s">
        <v>105</v>
      </c>
      <c r="X128" s="59" t="s">
        <v>486</v>
      </c>
      <c r="Y128" s="59"/>
      <c r="Z128" s="52">
        <f>100*G128</f>
        <v>3</v>
      </c>
      <c r="AA128" s="46" t="s">
        <v>502</v>
      </c>
      <c r="AB128" s="3" t="s">
        <v>233</v>
      </c>
      <c r="AC128" s="17">
        <f t="shared" si="14"/>
        <v>1</v>
      </c>
      <c r="AD128" s="15"/>
      <c r="AE128" s="111"/>
      <c r="AF128" s="18">
        <f t="shared" si="15"/>
        <v>0</v>
      </c>
      <c r="AG128" s="3" t="s">
        <v>233</v>
      </c>
      <c r="AH128" s="17">
        <f t="shared" si="13"/>
        <v>1</v>
      </c>
      <c r="AI128" s="113">
        <v>0</v>
      </c>
      <c r="AJ128" s="111">
        <v>1</v>
      </c>
      <c r="AK128" s="18">
        <f t="shared" si="16"/>
        <v>0</v>
      </c>
    </row>
    <row r="129" spans="5:27" ht="32.25" customHeight="1">
      <c r="E129" s="493" t="s">
        <v>335</v>
      </c>
      <c r="F129" s="494"/>
      <c r="G129" s="494"/>
      <c r="H129" s="494"/>
      <c r="I129" s="494"/>
      <c r="J129" s="494"/>
      <c r="K129" s="494"/>
      <c r="L129" s="494"/>
      <c r="M129" s="494"/>
      <c r="N129" s="494"/>
      <c r="O129" s="494"/>
      <c r="P129" s="494"/>
      <c r="Q129" s="494"/>
      <c r="R129" s="494"/>
      <c r="S129" s="494"/>
      <c r="T129" s="494"/>
      <c r="U129" s="494"/>
      <c r="V129" s="494"/>
      <c r="W129" s="494"/>
      <c r="X129" s="494"/>
      <c r="Y129" s="494"/>
      <c r="Z129" s="494"/>
      <c r="AA129" s="494"/>
    </row>
    <row r="131" spans="5:27" ht="32.25" hidden="1" customHeight="1">
      <c r="K131" s="87">
        <v>0.9</v>
      </c>
      <c r="L131" s="87"/>
      <c r="M131" s="87"/>
      <c r="N131" s="84">
        <v>0.89990000000000003</v>
      </c>
      <c r="O131" s="84">
        <v>0.68989999999999996</v>
      </c>
      <c r="P131" s="90">
        <v>0.68989</v>
      </c>
    </row>
    <row r="132" spans="5:27" ht="32.25" hidden="1" customHeight="1">
      <c r="K132" s="75">
        <v>0.9</v>
      </c>
      <c r="L132" s="75"/>
      <c r="M132" s="75"/>
      <c r="N132" s="76">
        <v>0.89900000000000002</v>
      </c>
      <c r="O132" s="75">
        <v>0.7</v>
      </c>
      <c r="P132" s="76">
        <v>0.69899999999999995</v>
      </c>
    </row>
    <row r="133" spans="5:27" ht="32.25" hidden="1" customHeight="1">
      <c r="K133" s="75">
        <v>0.13500000000000001</v>
      </c>
      <c r="L133" s="75"/>
      <c r="M133" s="75"/>
      <c r="N133" s="75">
        <v>0.13499</v>
      </c>
      <c r="O133" s="75">
        <v>0.10349999999999999</v>
      </c>
      <c r="P133" s="75">
        <v>0.10349</v>
      </c>
    </row>
    <row r="134" spans="5:27" ht="32.25" hidden="1" customHeight="1">
      <c r="K134" s="75">
        <v>0.54</v>
      </c>
      <c r="L134" s="75"/>
      <c r="M134" s="75"/>
      <c r="N134" s="75">
        <v>0.53990000000000005</v>
      </c>
      <c r="O134" s="75">
        <v>0.41399999999999998</v>
      </c>
      <c r="P134" s="75">
        <v>0.41389999999999999</v>
      </c>
    </row>
    <row r="135" spans="5:27" ht="32.25" hidden="1" customHeight="1">
      <c r="J135" s="13">
        <v>0.95</v>
      </c>
      <c r="K135" s="89">
        <f t="shared" ref="K135:P135" si="17">$J$135*K131</f>
        <v>0.85499999999999998</v>
      </c>
      <c r="L135" s="89"/>
      <c r="M135" s="89"/>
      <c r="N135" s="89">
        <f t="shared" si="17"/>
        <v>0.85490500000000003</v>
      </c>
      <c r="O135" s="89">
        <f t="shared" si="17"/>
        <v>0.6554049999999999</v>
      </c>
      <c r="P135" s="89">
        <f t="shared" si="17"/>
        <v>0.65539550000000002</v>
      </c>
    </row>
    <row r="136" spans="5:27" ht="32.25" hidden="1" customHeight="1">
      <c r="K136" s="91">
        <v>90</v>
      </c>
      <c r="P136" s="13">
        <v>91</v>
      </c>
    </row>
    <row r="137" spans="5:27" ht="32.25" hidden="1" customHeight="1">
      <c r="J137" s="13">
        <v>102.6</v>
      </c>
      <c r="K137" s="86">
        <v>1.006</v>
      </c>
      <c r="P137" s="86">
        <v>1.026</v>
      </c>
    </row>
    <row r="138" spans="5:27" ht="32.25" hidden="1" customHeight="1">
      <c r="J138" s="13">
        <v>0.2</v>
      </c>
      <c r="K138" s="89">
        <f>J138*K131</f>
        <v>0.18000000000000002</v>
      </c>
      <c r="L138" s="89"/>
      <c r="M138" s="89"/>
      <c r="N138" s="89">
        <f>$J$138*N131</f>
        <v>0.17998000000000003</v>
      </c>
      <c r="O138" s="89">
        <f t="shared" ref="O138:P138" si="18">$J$138*O131</f>
        <v>0.13797999999999999</v>
      </c>
      <c r="P138" s="89">
        <f t="shared" si="18"/>
        <v>0.13797800000000002</v>
      </c>
    </row>
    <row r="139" spans="5:27" ht="32.25" hidden="1" customHeight="1">
      <c r="K139" s="85">
        <v>1</v>
      </c>
      <c r="P139" s="85">
        <v>0.66</v>
      </c>
    </row>
    <row r="140" spans="5:27" ht="32.25" hidden="1" customHeight="1">
      <c r="J140" s="13">
        <v>0.05</v>
      </c>
      <c r="K140" s="89"/>
      <c r="L140" s="89"/>
      <c r="M140" s="89"/>
      <c r="N140" s="89"/>
      <c r="O140" s="89"/>
      <c r="P140" s="89"/>
    </row>
    <row r="141" spans="5:27" ht="32.25" hidden="1" customHeight="1">
      <c r="J141" s="13">
        <v>0.8</v>
      </c>
      <c r="K141" s="85">
        <f>J141*K131</f>
        <v>0.72000000000000008</v>
      </c>
      <c r="L141" s="85"/>
      <c r="M141" s="85"/>
      <c r="N141" s="85">
        <f>$J$141*N131</f>
        <v>0.71992000000000012</v>
      </c>
      <c r="O141" s="85">
        <f t="shared" ref="O141:P141" si="19">$J$141*O131</f>
        <v>0.55191999999999997</v>
      </c>
      <c r="P141" s="85">
        <f t="shared" si="19"/>
        <v>0.55191200000000007</v>
      </c>
    </row>
    <row r="142" spans="5:27" ht="32.25" hidden="1" customHeight="1">
      <c r="K142" s="13">
        <v>1</v>
      </c>
      <c r="P142" s="13">
        <v>0</v>
      </c>
    </row>
    <row r="143" spans="5:27" ht="32.25" hidden="1" customHeight="1">
      <c r="J143" s="13">
        <v>0.94</v>
      </c>
      <c r="K143" s="88">
        <f>+J143*K131</f>
        <v>0.84599999999999997</v>
      </c>
      <c r="L143" s="88"/>
      <c r="M143" s="88"/>
      <c r="N143" s="88">
        <f>+$J$143*N131</f>
        <v>0.84590599999999994</v>
      </c>
      <c r="O143" s="88">
        <f t="shared" ref="O143:P143" si="20">+$J$143*O131</f>
        <v>0.64850599999999992</v>
      </c>
      <c r="P143" s="88">
        <f t="shared" si="20"/>
        <v>0.64849659999999998</v>
      </c>
    </row>
    <row r="144" spans="5:27" ht="32.25" hidden="1" customHeight="1">
      <c r="J144" s="13">
        <v>0.22500000000000001</v>
      </c>
      <c r="K144" s="88">
        <f>$J$144*K131</f>
        <v>0.20250000000000001</v>
      </c>
      <c r="L144" s="88"/>
      <c r="M144" s="88"/>
      <c r="N144" s="88">
        <f>$J$144*N131</f>
        <v>0.2024775</v>
      </c>
      <c r="O144" s="88">
        <f t="shared" ref="O144:P144" si="21">$J$144*O131</f>
        <v>0.15522749999999999</v>
      </c>
      <c r="P144" s="88">
        <f t="shared" si="21"/>
        <v>0.15522525000000001</v>
      </c>
    </row>
    <row r="145" spans="10:16" ht="32.25" hidden="1" customHeight="1">
      <c r="J145" s="13">
        <v>0.9</v>
      </c>
      <c r="K145" s="85">
        <f>J145*K131</f>
        <v>0.81</v>
      </c>
      <c r="L145" s="85"/>
      <c r="M145" s="85"/>
      <c r="N145" s="85">
        <f>$J$145*N131</f>
        <v>0.80991000000000002</v>
      </c>
      <c r="O145" s="85">
        <f t="shared" ref="O145:P145" si="22">$J$145*O131</f>
        <v>0.62090999999999996</v>
      </c>
      <c r="P145" s="85">
        <f t="shared" si="22"/>
        <v>0.62090100000000004</v>
      </c>
    </row>
    <row r="146" spans="10:16" ht="32.25" hidden="1" customHeight="1">
      <c r="K146" s="85">
        <v>1</v>
      </c>
      <c r="L146" s="85"/>
      <c r="M146" s="85"/>
      <c r="N146" s="85"/>
      <c r="O146" s="85"/>
      <c r="P146" s="85">
        <v>1.0009999999999999</v>
      </c>
    </row>
    <row r="147" spans="10:16" ht="32.25" hidden="1" customHeight="1">
      <c r="J147" s="13">
        <v>0.25</v>
      </c>
      <c r="K147" s="85">
        <f>J147*K131</f>
        <v>0.22500000000000001</v>
      </c>
      <c r="L147" s="85"/>
      <c r="M147" s="85"/>
      <c r="N147" s="85">
        <f>$J$147*N131</f>
        <v>0.22497500000000001</v>
      </c>
      <c r="O147" s="85">
        <f t="shared" ref="O147:P147" si="23">$J$147*O131</f>
        <v>0.17247499999999999</v>
      </c>
      <c r="P147" s="85">
        <f t="shared" si="23"/>
        <v>0.1724725</v>
      </c>
    </row>
    <row r="148" spans="10:16" ht="32.25" hidden="1" customHeight="1">
      <c r="J148" s="13">
        <v>0.22500000000000001</v>
      </c>
      <c r="K148" s="88">
        <f>$J$148*K131</f>
        <v>0.20250000000000001</v>
      </c>
      <c r="L148" s="88"/>
      <c r="M148" s="88"/>
      <c r="N148" s="88">
        <f>$J$148*N131</f>
        <v>0.2024775</v>
      </c>
      <c r="O148" s="88">
        <f t="shared" ref="O148:P148" si="24">$J$148*O131</f>
        <v>0.15522749999999999</v>
      </c>
      <c r="P148" s="88">
        <f t="shared" si="24"/>
        <v>0.15522525000000001</v>
      </c>
    </row>
    <row r="149" spans="10:16" ht="32.25" hidden="1" customHeight="1">
      <c r="J149" s="13">
        <v>0.87</v>
      </c>
      <c r="K149" s="85">
        <f>+$J$149*K131</f>
        <v>0.78300000000000003</v>
      </c>
      <c r="L149" s="85"/>
      <c r="M149" s="85"/>
      <c r="N149" s="85">
        <f>+$J$149*N131</f>
        <v>0.78291299999999997</v>
      </c>
      <c r="O149" s="85">
        <f t="shared" ref="O149:P149" si="25">+$J$149*O131</f>
        <v>0.600213</v>
      </c>
      <c r="P149" s="85">
        <f t="shared" si="25"/>
        <v>0.60020430000000002</v>
      </c>
    </row>
    <row r="150" spans="10:16" ht="32.25" hidden="1" customHeight="1">
      <c r="K150" s="92">
        <v>1</v>
      </c>
      <c r="L150" s="85"/>
      <c r="M150" s="85"/>
      <c r="N150" s="85"/>
      <c r="O150" s="85"/>
      <c r="P150" s="92">
        <v>1.01</v>
      </c>
    </row>
    <row r="151" spans="10:16" ht="32.25" hidden="1" customHeight="1">
      <c r="J151" s="13">
        <v>0.22500000000000001</v>
      </c>
      <c r="K151" s="89">
        <f>J151*K131</f>
        <v>0.20250000000000001</v>
      </c>
      <c r="L151" s="89"/>
      <c r="M151" s="89"/>
      <c r="N151" s="89">
        <f>$J$151*N131</f>
        <v>0.2024775</v>
      </c>
      <c r="O151" s="89">
        <f t="shared" ref="O151:P151" si="26">$J$151*O131</f>
        <v>0.15522749999999999</v>
      </c>
      <c r="P151" s="89">
        <f t="shared" si="26"/>
        <v>0.15522525000000001</v>
      </c>
    </row>
    <row r="152" spans="10:16" ht="32.25" hidden="1" customHeight="1">
      <c r="K152" s="85">
        <v>1</v>
      </c>
      <c r="P152" s="85">
        <v>1.0089999999999999</v>
      </c>
    </row>
  </sheetData>
  <autoFilter ref="F7:AA129">
    <filterColumn colId="8" showButton="0"/>
    <filterColumn colId="9" hiddenButton="1" showButton="0"/>
    <filterColumn colId="10" hiddenButton="1" showButton="0"/>
    <filterColumn colId="11" showButton="0"/>
    <filterColumn colId="12" hiddenButton="1" showButton="0"/>
    <filterColumn colId="13" hiddenButton="1" showButton="0"/>
    <filterColumn colId="14" showButton="0"/>
  </autoFilter>
  <mergeCells count="759">
    <mergeCell ref="M7:M10"/>
    <mergeCell ref="M76:M77"/>
    <mergeCell ref="M78:M81"/>
    <mergeCell ref="M82:M86"/>
    <mergeCell ref="M87:M88"/>
    <mergeCell ref="M89:M96"/>
    <mergeCell ref="M97:M98"/>
    <mergeCell ref="M99:M101"/>
    <mergeCell ref="M102:M104"/>
    <mergeCell ref="M49:M51"/>
    <mergeCell ref="R11:R13"/>
    <mergeCell ref="S11:S13"/>
    <mergeCell ref="R14:R16"/>
    <mergeCell ref="S14:S16"/>
    <mergeCell ref="R32:R34"/>
    <mergeCell ref="S32:S34"/>
    <mergeCell ref="R61:R62"/>
    <mergeCell ref="S61:S62"/>
    <mergeCell ref="AA36:AA39"/>
    <mergeCell ref="W36:W37"/>
    <mergeCell ref="W38:W39"/>
    <mergeCell ref="X36:X37"/>
    <mergeCell ref="Y36:Y37"/>
    <mergeCell ref="X38:X39"/>
    <mergeCell ref="Y38:Y39"/>
    <mergeCell ref="Z36:Z37"/>
    <mergeCell ref="Z38:Z39"/>
    <mergeCell ref="Z17:Z20"/>
    <mergeCell ref="Z21:Z26"/>
    <mergeCell ref="Z27:Z30"/>
    <mergeCell ref="R58:R60"/>
    <mergeCell ref="AA32:AA34"/>
    <mergeCell ref="AA40:AA42"/>
    <mergeCell ref="U23:U29"/>
    <mergeCell ref="AA89:AA96"/>
    <mergeCell ref="AA97:AA98"/>
    <mergeCell ref="AA99:AA101"/>
    <mergeCell ref="AA102:AA104"/>
    <mergeCell ref="AA58:AA60"/>
    <mergeCell ref="AA61:AA62"/>
    <mergeCell ref="G63:G64"/>
    <mergeCell ref="K63:K64"/>
    <mergeCell ref="AA63:AA64"/>
    <mergeCell ref="R78:R81"/>
    <mergeCell ref="S78:S81"/>
    <mergeCell ref="R82:R86"/>
    <mergeCell ref="S82:S86"/>
    <mergeCell ref="R87:R88"/>
    <mergeCell ref="S87:S88"/>
    <mergeCell ref="R89:R96"/>
    <mergeCell ref="S89:S96"/>
    <mergeCell ref="H99:H101"/>
    <mergeCell ref="K97:K98"/>
    <mergeCell ref="U58:U60"/>
    <mergeCell ref="AA65:AA67"/>
    <mergeCell ref="K61:K62"/>
    <mergeCell ref="T63:T64"/>
    <mergeCell ref="Q61:Q62"/>
    <mergeCell ref="E82:E104"/>
    <mergeCell ref="E65:E81"/>
    <mergeCell ref="W17:W20"/>
    <mergeCell ref="X17:X20"/>
    <mergeCell ref="W21:W26"/>
    <mergeCell ref="X21:X26"/>
    <mergeCell ref="Y17:Y20"/>
    <mergeCell ref="Y21:Y26"/>
    <mergeCell ref="W27:W30"/>
    <mergeCell ref="X27:X30"/>
    <mergeCell ref="Y27:Y30"/>
    <mergeCell ref="V58:V60"/>
    <mergeCell ref="J61:J62"/>
    <mergeCell ref="P65:P67"/>
    <mergeCell ref="V65:V67"/>
    <mergeCell ref="J65:J67"/>
    <mergeCell ref="K65:K67"/>
    <mergeCell ref="N63:N64"/>
    <mergeCell ref="Q63:Q64"/>
    <mergeCell ref="T61:T62"/>
    <mergeCell ref="N61:N62"/>
    <mergeCell ref="O58:O60"/>
    <mergeCell ref="M32:M34"/>
    <mergeCell ref="M40:M42"/>
    <mergeCell ref="E105:E113"/>
    <mergeCell ref="E114:E128"/>
    <mergeCell ref="E129:AA129"/>
    <mergeCell ref="AA112:AA113"/>
    <mergeCell ref="AA114:AA116"/>
    <mergeCell ref="AA117:AA118"/>
    <mergeCell ref="AA119:AA122"/>
    <mergeCell ref="AA123:AA125"/>
    <mergeCell ref="AA126:AA127"/>
    <mergeCell ref="F109:F111"/>
    <mergeCell ref="U117:U118"/>
    <mergeCell ref="G112:G113"/>
    <mergeCell ref="F112:F113"/>
    <mergeCell ref="H112:H113"/>
    <mergeCell ref="Q114:Q116"/>
    <mergeCell ref="T114:T116"/>
    <mergeCell ref="G114:G116"/>
    <mergeCell ref="G117:G118"/>
    <mergeCell ref="L112:L113"/>
    <mergeCell ref="L114:L116"/>
    <mergeCell ref="L117:L118"/>
    <mergeCell ref="V126:V127"/>
    <mergeCell ref="F126:F127"/>
    <mergeCell ref="H126:H127"/>
    <mergeCell ref="AA74:AA75"/>
    <mergeCell ref="V74:V75"/>
    <mergeCell ref="AA68:AA69"/>
    <mergeCell ref="AA70:AA71"/>
    <mergeCell ref="O72:O73"/>
    <mergeCell ref="P72:P73"/>
    <mergeCell ref="O74:O75"/>
    <mergeCell ref="P74:P75"/>
    <mergeCell ref="V68:V69"/>
    <mergeCell ref="R74:R75"/>
    <mergeCell ref="S74:S75"/>
    <mergeCell ref="R72:R73"/>
    <mergeCell ref="S72:S73"/>
    <mergeCell ref="U70:U71"/>
    <mergeCell ref="V63:V64"/>
    <mergeCell ref="S63:S64"/>
    <mergeCell ref="R65:R67"/>
    <mergeCell ref="S65:S67"/>
    <mergeCell ref="V72:V73"/>
    <mergeCell ref="U72:U73"/>
    <mergeCell ref="R63:R64"/>
    <mergeCell ref="U61:U62"/>
    <mergeCell ref="V61:V62"/>
    <mergeCell ref="U65:U67"/>
    <mergeCell ref="T68:T69"/>
    <mergeCell ref="U68:U69"/>
    <mergeCell ref="V78:V81"/>
    <mergeCell ref="V82:V86"/>
    <mergeCell ref="R102:R104"/>
    <mergeCell ref="S102:S104"/>
    <mergeCell ref="R105:R106"/>
    <mergeCell ref="U82:U86"/>
    <mergeCell ref="T109:T111"/>
    <mergeCell ref="Y87:Y88"/>
    <mergeCell ref="U74:U75"/>
    <mergeCell ref="T76:T77"/>
    <mergeCell ref="S76:S77"/>
    <mergeCell ref="T78:T81"/>
    <mergeCell ref="R76:R77"/>
    <mergeCell ref="U109:U111"/>
    <mergeCell ref="U107:U108"/>
    <mergeCell ref="F114:F116"/>
    <mergeCell ref="H114:H116"/>
    <mergeCell ref="J114:J116"/>
    <mergeCell ref="J58:J60"/>
    <mergeCell ref="N58:N60"/>
    <mergeCell ref="AA72:AA73"/>
    <mergeCell ref="AA76:AA77"/>
    <mergeCell ref="AA78:AA81"/>
    <mergeCell ref="AA82:AA86"/>
    <mergeCell ref="V76:V77"/>
    <mergeCell ref="J72:J73"/>
    <mergeCell ref="U114:U116"/>
    <mergeCell ref="R68:R69"/>
    <mergeCell ref="S68:S69"/>
    <mergeCell ref="R70:R71"/>
    <mergeCell ref="S70:S71"/>
    <mergeCell ref="Q74:Q75"/>
    <mergeCell ref="T74:T75"/>
    <mergeCell ref="V70:V71"/>
    <mergeCell ref="S107:S108"/>
    <mergeCell ref="R109:R111"/>
    <mergeCell ref="S109:S111"/>
    <mergeCell ref="R112:R113"/>
    <mergeCell ref="S112:S113"/>
    <mergeCell ref="AA43:AA45"/>
    <mergeCell ref="N9:N10"/>
    <mergeCell ref="Q11:Q13"/>
    <mergeCell ref="K14:K16"/>
    <mergeCell ref="AA105:AA106"/>
    <mergeCell ref="AA107:AA108"/>
    <mergeCell ref="AA109:AA111"/>
    <mergeCell ref="AA46:AA48"/>
    <mergeCell ref="AA49:AA51"/>
    <mergeCell ref="AA53:AA55"/>
    <mergeCell ref="AA56:AA57"/>
    <mergeCell ref="U53:U55"/>
    <mergeCell ref="Q53:Q55"/>
    <mergeCell ref="R49:R51"/>
    <mergeCell ref="R53:R55"/>
    <mergeCell ref="S53:S55"/>
    <mergeCell ref="S49:S52"/>
    <mergeCell ref="U63:U64"/>
    <mergeCell ref="T72:T73"/>
    <mergeCell ref="P70:P71"/>
    <mergeCell ref="P58:P60"/>
    <mergeCell ref="O61:O62"/>
    <mergeCell ref="AA87:AA88"/>
    <mergeCell ref="X87:X88"/>
    <mergeCell ref="E7:E10"/>
    <mergeCell ref="G7:G10"/>
    <mergeCell ref="AD7:AD10"/>
    <mergeCell ref="L7:L10"/>
    <mergeCell ref="J8:J10"/>
    <mergeCell ref="K126:K127"/>
    <mergeCell ref="K123:K125"/>
    <mergeCell ref="K105:K106"/>
    <mergeCell ref="K112:K113"/>
    <mergeCell ref="K114:K116"/>
    <mergeCell ref="K117:K118"/>
    <mergeCell ref="K53:K55"/>
    <mergeCell ref="T43:T45"/>
    <mergeCell ref="T53:T55"/>
    <mergeCell ref="N107:N108"/>
    <mergeCell ref="Q107:Q108"/>
    <mergeCell ref="T107:T108"/>
    <mergeCell ref="Q99:Q101"/>
    <mergeCell ref="T99:T101"/>
    <mergeCell ref="Q102:Q104"/>
    <mergeCell ref="R114:R116"/>
    <mergeCell ref="S114:S116"/>
    <mergeCell ref="Q126:Q127"/>
    <mergeCell ref="T126:T127"/>
    <mergeCell ref="S9:S10"/>
    <mergeCell ref="N8:P8"/>
    <mergeCell ref="Q8:S8"/>
    <mergeCell ref="AE7:AE10"/>
    <mergeCell ref="AB7:AB10"/>
    <mergeCell ref="AA17:AA29"/>
    <mergeCell ref="A1:AF1"/>
    <mergeCell ref="A2:AF6"/>
    <mergeCell ref="V7:V10"/>
    <mergeCell ref="W7:W10"/>
    <mergeCell ref="AC7:AC10"/>
    <mergeCell ref="AA7:AA10"/>
    <mergeCell ref="F7:F10"/>
    <mergeCell ref="H7:H10"/>
    <mergeCell ref="N7:U7"/>
    <mergeCell ref="Z7:Z10"/>
    <mergeCell ref="Q9:Q10"/>
    <mergeCell ref="T9:T10"/>
    <mergeCell ref="U9:U10"/>
    <mergeCell ref="I7:I10"/>
    <mergeCell ref="X7:X10"/>
    <mergeCell ref="Y7:Y10"/>
    <mergeCell ref="A7:B9"/>
    <mergeCell ref="C7:D9"/>
    <mergeCell ref="J11:J13"/>
    <mergeCell ref="F17:F30"/>
    <mergeCell ref="N11:N13"/>
    <mergeCell ref="I11:I13"/>
    <mergeCell ref="I14:I16"/>
    <mergeCell ref="AF7:AF10"/>
    <mergeCell ref="K7:K10"/>
    <mergeCell ref="Q14:Q16"/>
    <mergeCell ref="T14:T16"/>
    <mergeCell ref="U14:U16"/>
    <mergeCell ref="V14:V16"/>
    <mergeCell ref="F14:F16"/>
    <mergeCell ref="H14:H16"/>
    <mergeCell ref="U11:U13"/>
    <mergeCell ref="V11:V13"/>
    <mergeCell ref="J14:J16"/>
    <mergeCell ref="N14:N16"/>
    <mergeCell ref="AA11:AA13"/>
    <mergeCell ref="AA14:AA16"/>
    <mergeCell ref="F11:F13"/>
    <mergeCell ref="H11:H13"/>
    <mergeCell ref="O9:O10"/>
    <mergeCell ref="P9:P10"/>
    <mergeCell ref="R9:R10"/>
    <mergeCell ref="V123:V125"/>
    <mergeCell ref="L119:L122"/>
    <mergeCell ref="L123:L125"/>
    <mergeCell ref="L126:L127"/>
    <mergeCell ref="L107:L108"/>
    <mergeCell ref="N72:N73"/>
    <mergeCell ref="Q72:Q73"/>
    <mergeCell ref="Q76:Q77"/>
    <mergeCell ref="T102:T104"/>
    <mergeCell ref="V99:V101"/>
    <mergeCell ref="U76:U77"/>
    <mergeCell ref="V87:V88"/>
    <mergeCell ref="U87:U88"/>
    <mergeCell ref="V119:V122"/>
    <mergeCell ref="N119:N122"/>
    <mergeCell ref="Q119:Q122"/>
    <mergeCell ref="T119:T122"/>
    <mergeCell ref="V112:V113"/>
    <mergeCell ref="N114:N116"/>
    <mergeCell ref="L109:L111"/>
    <mergeCell ref="O105:O106"/>
    <mergeCell ref="P105:P106"/>
    <mergeCell ref="V114:V116"/>
    <mergeCell ref="T87:T88"/>
    <mergeCell ref="Q82:Q86"/>
    <mergeCell ref="Q87:Q88"/>
    <mergeCell ref="K82:K86"/>
    <mergeCell ref="T89:T96"/>
    <mergeCell ref="T97:T98"/>
    <mergeCell ref="P97:P98"/>
    <mergeCell ref="V117:V118"/>
    <mergeCell ref="U89:U96"/>
    <mergeCell ref="Q78:Q81"/>
    <mergeCell ref="T105:T106"/>
    <mergeCell ref="V109:V111"/>
    <mergeCell ref="Q112:Q113"/>
    <mergeCell ref="T112:T113"/>
    <mergeCell ref="V107:V108"/>
    <mergeCell ref="R107:R108"/>
    <mergeCell ref="T82:T86"/>
    <mergeCell ref="U102:U104"/>
    <mergeCell ref="S105:S106"/>
    <mergeCell ref="U105:U106"/>
    <mergeCell ref="U99:U101"/>
    <mergeCell ref="U97:U98"/>
    <mergeCell ref="V97:V98"/>
    <mergeCell ref="U78:U81"/>
    <mergeCell ref="M107:M108"/>
    <mergeCell ref="M109:M111"/>
    <mergeCell ref="M112:M113"/>
    <mergeCell ref="M114:M116"/>
    <mergeCell ref="K76:K77"/>
    <mergeCell ref="H109:H111"/>
    <mergeCell ref="J109:J111"/>
    <mergeCell ref="G109:G111"/>
    <mergeCell ref="G107:G108"/>
    <mergeCell ref="H105:H106"/>
    <mergeCell ref="J97:J98"/>
    <mergeCell ref="J78:J81"/>
    <mergeCell ref="K89:K96"/>
    <mergeCell ref="J87:J88"/>
    <mergeCell ref="I97:I98"/>
    <mergeCell ref="I99:I101"/>
    <mergeCell ref="G89:G96"/>
    <mergeCell ref="H97:H98"/>
    <mergeCell ref="J99:J101"/>
    <mergeCell ref="J126:J127"/>
    <mergeCell ref="N126:N127"/>
    <mergeCell ref="Q117:Q118"/>
    <mergeCell ref="T117:T118"/>
    <mergeCell ref="H119:H122"/>
    <mergeCell ref="J119:J122"/>
    <mergeCell ref="R117:R118"/>
    <mergeCell ref="S117:S118"/>
    <mergeCell ref="R126:R127"/>
    <mergeCell ref="S126:S127"/>
    <mergeCell ref="M117:M118"/>
    <mergeCell ref="M119:M122"/>
    <mergeCell ref="M123:M125"/>
    <mergeCell ref="S123:S125"/>
    <mergeCell ref="R119:R122"/>
    <mergeCell ref="S119:S122"/>
    <mergeCell ref="O126:O127"/>
    <mergeCell ref="P126:P127"/>
    <mergeCell ref="O119:O122"/>
    <mergeCell ref="P119:P122"/>
    <mergeCell ref="M126:M127"/>
    <mergeCell ref="H123:H125"/>
    <mergeCell ref="I126:I127"/>
    <mergeCell ref="J117:J118"/>
    <mergeCell ref="O97:O98"/>
    <mergeCell ref="L97:L98"/>
    <mergeCell ref="G99:G101"/>
    <mergeCell ref="I76:I77"/>
    <mergeCell ref="H89:H96"/>
    <mergeCell ref="K99:K101"/>
    <mergeCell ref="N97:N98"/>
    <mergeCell ref="N78:N81"/>
    <mergeCell ref="N89:N96"/>
    <mergeCell ref="N87:N88"/>
    <mergeCell ref="I119:I122"/>
    <mergeCell ref="I123:I125"/>
    <mergeCell ref="K119:K122"/>
    <mergeCell ref="J123:J125"/>
    <mergeCell ref="N123:N125"/>
    <mergeCell ref="I87:I88"/>
    <mergeCell ref="K87:K88"/>
    <mergeCell ref="I78:I81"/>
    <mergeCell ref="I102:I104"/>
    <mergeCell ref="N99:N101"/>
    <mergeCell ref="M105:M106"/>
    <mergeCell ref="L102:L104"/>
    <mergeCell ref="L105:L106"/>
    <mergeCell ref="N112:N113"/>
    <mergeCell ref="I107:I108"/>
    <mergeCell ref="I109:I111"/>
    <mergeCell ref="I105:I106"/>
    <mergeCell ref="I89:I96"/>
    <mergeCell ref="J89:J96"/>
    <mergeCell ref="J112:J113"/>
    <mergeCell ref="L99:L101"/>
    <mergeCell ref="N117:N118"/>
    <mergeCell ref="J107:J108"/>
    <mergeCell ref="J102:J104"/>
    <mergeCell ref="J68:J69"/>
    <mergeCell ref="Q56:Q57"/>
    <mergeCell ref="O68:O69"/>
    <mergeCell ref="P68:P69"/>
    <mergeCell ref="O70:O71"/>
    <mergeCell ref="Q65:Q67"/>
    <mergeCell ref="P99:P101"/>
    <mergeCell ref="O107:O108"/>
    <mergeCell ref="P107:P108"/>
    <mergeCell ref="O99:O101"/>
    <mergeCell ref="O102:O104"/>
    <mergeCell ref="J74:J75"/>
    <mergeCell ref="N102:N104"/>
    <mergeCell ref="J82:J86"/>
    <mergeCell ref="Q97:Q98"/>
    <mergeCell ref="Q89:Q96"/>
    <mergeCell ref="Q70:Q71"/>
    <mergeCell ref="K72:K73"/>
    <mergeCell ref="O76:O77"/>
    <mergeCell ref="N74:N75"/>
    <mergeCell ref="K74:K75"/>
    <mergeCell ref="N68:N69"/>
    <mergeCell ref="Q68:Q69"/>
    <mergeCell ref="J76:J77"/>
    <mergeCell ref="G126:G127"/>
    <mergeCell ref="F119:F122"/>
    <mergeCell ref="F117:F118"/>
    <mergeCell ref="H117:H118"/>
    <mergeCell ref="F102:F104"/>
    <mergeCell ref="H102:H104"/>
    <mergeCell ref="F99:F101"/>
    <mergeCell ref="F105:F106"/>
    <mergeCell ref="H74:H75"/>
    <mergeCell ref="F78:F81"/>
    <mergeCell ref="F74:F75"/>
    <mergeCell ref="G76:G77"/>
    <mergeCell ref="F123:F125"/>
    <mergeCell ref="F107:F108"/>
    <mergeCell ref="H107:H108"/>
    <mergeCell ref="G123:G125"/>
    <mergeCell ref="F87:F88"/>
    <mergeCell ref="H87:H88"/>
    <mergeCell ref="F82:F86"/>
    <mergeCell ref="H82:H86"/>
    <mergeCell ref="H76:H77"/>
    <mergeCell ref="G102:G104"/>
    <mergeCell ref="G119:G122"/>
    <mergeCell ref="G105:G106"/>
    <mergeCell ref="H72:H73"/>
    <mergeCell ref="H78:H81"/>
    <mergeCell ref="G74:G75"/>
    <mergeCell ref="F58:F60"/>
    <mergeCell ref="F70:F71"/>
    <mergeCell ref="H58:H60"/>
    <mergeCell ref="H43:H45"/>
    <mergeCell ref="G43:G45"/>
    <mergeCell ref="F68:F69"/>
    <mergeCell ref="F65:F67"/>
    <mergeCell ref="H53:H55"/>
    <mergeCell ref="G11:G13"/>
    <mergeCell ref="G14:G16"/>
    <mergeCell ref="T17:T21"/>
    <mergeCell ref="G17:G30"/>
    <mergeCell ref="H17:H18"/>
    <mergeCell ref="H19:H20"/>
    <mergeCell ref="H21:H22"/>
    <mergeCell ref="H23:H24"/>
    <mergeCell ref="H27:H28"/>
    <mergeCell ref="H29:H30"/>
    <mergeCell ref="H25:H26"/>
    <mergeCell ref="T23:T29"/>
    <mergeCell ref="I17:I18"/>
    <mergeCell ref="I19:I20"/>
    <mergeCell ref="I21:I22"/>
    <mergeCell ref="K11:K13"/>
    <mergeCell ref="O11:O13"/>
    <mergeCell ref="P11:P13"/>
    <mergeCell ref="O14:O16"/>
    <mergeCell ref="P14:P16"/>
    <mergeCell ref="L11:L13"/>
    <mergeCell ref="L14:L16"/>
    <mergeCell ref="M11:M13"/>
    <mergeCell ref="M14:M16"/>
    <mergeCell ref="G36:G39"/>
    <mergeCell ref="G53:G55"/>
    <mergeCell ref="G58:G60"/>
    <mergeCell ref="G65:G67"/>
    <mergeCell ref="G68:G69"/>
    <mergeCell ref="G82:G86"/>
    <mergeCell ref="N109:N111"/>
    <mergeCell ref="Q109:Q111"/>
    <mergeCell ref="N105:N106"/>
    <mergeCell ref="Q105:Q106"/>
    <mergeCell ref="P76:P77"/>
    <mergeCell ref="O87:O88"/>
    <mergeCell ref="P87:P88"/>
    <mergeCell ref="O89:O96"/>
    <mergeCell ref="P89:P96"/>
    <mergeCell ref="O82:O86"/>
    <mergeCell ref="P82:P86"/>
    <mergeCell ref="O78:O81"/>
    <mergeCell ref="H70:H71"/>
    <mergeCell ref="J53:J55"/>
    <mergeCell ref="J56:J57"/>
    <mergeCell ref="L65:L67"/>
    <mergeCell ref="L68:L69"/>
    <mergeCell ref="J70:J71"/>
    <mergeCell ref="P78:P81"/>
    <mergeCell ref="R97:R98"/>
    <mergeCell ref="S97:S98"/>
    <mergeCell ref="R99:R101"/>
    <mergeCell ref="S99:S101"/>
    <mergeCell ref="B102:B116"/>
    <mergeCell ref="C102:C116"/>
    <mergeCell ref="D109:D118"/>
    <mergeCell ref="B87:B93"/>
    <mergeCell ref="B94:B96"/>
    <mergeCell ref="O109:O111"/>
    <mergeCell ref="P109:P111"/>
    <mergeCell ref="O112:O113"/>
    <mergeCell ref="P112:P113"/>
    <mergeCell ref="O114:O116"/>
    <mergeCell ref="P114:P116"/>
    <mergeCell ref="O117:O118"/>
    <mergeCell ref="P117:P118"/>
    <mergeCell ref="J105:J106"/>
    <mergeCell ref="K107:K108"/>
    <mergeCell ref="I117:I118"/>
    <mergeCell ref="K102:K104"/>
    <mergeCell ref="F97:F98"/>
    <mergeCell ref="F89:F96"/>
    <mergeCell ref="D123:D127"/>
    <mergeCell ref="A97:A101"/>
    <mergeCell ref="B97:B101"/>
    <mergeCell ref="D107:D108"/>
    <mergeCell ref="A117:A128"/>
    <mergeCell ref="B117:B128"/>
    <mergeCell ref="C117:C128"/>
    <mergeCell ref="A102:A116"/>
    <mergeCell ref="A87:A93"/>
    <mergeCell ref="A94:A96"/>
    <mergeCell ref="C87:C88"/>
    <mergeCell ref="D105:D106"/>
    <mergeCell ref="D87:D88"/>
    <mergeCell ref="C97:C101"/>
    <mergeCell ref="D97:D101"/>
    <mergeCell ref="D94:D96"/>
    <mergeCell ref="D119:D122"/>
    <mergeCell ref="C89:C93"/>
    <mergeCell ref="C94:C96"/>
    <mergeCell ref="D102:D104"/>
    <mergeCell ref="D89:D93"/>
    <mergeCell ref="A11:A42"/>
    <mergeCell ref="B11:B42"/>
    <mergeCell ref="C11:C42"/>
    <mergeCell ref="A43:A69"/>
    <mergeCell ref="C43:C69"/>
    <mergeCell ref="D31:D35"/>
    <mergeCell ref="D36:D57"/>
    <mergeCell ref="B70:B81"/>
    <mergeCell ref="C70:C81"/>
    <mergeCell ref="D72:D75"/>
    <mergeCell ref="D76:D77"/>
    <mergeCell ref="D70:D71"/>
    <mergeCell ref="D63:D69"/>
    <mergeCell ref="A70:A86"/>
    <mergeCell ref="B82:B86"/>
    <mergeCell ref="D58:D62"/>
    <mergeCell ref="B43:B69"/>
    <mergeCell ref="D11:D30"/>
    <mergeCell ref="C82:C86"/>
    <mergeCell ref="D82:D86"/>
    <mergeCell ref="D78:D81"/>
    <mergeCell ref="E40:E64"/>
    <mergeCell ref="H56:H57"/>
    <mergeCell ref="F63:F64"/>
    <mergeCell ref="H63:H64"/>
    <mergeCell ref="F56:F57"/>
    <mergeCell ref="G56:G57"/>
    <mergeCell ref="G78:G81"/>
    <mergeCell ref="G97:G98"/>
    <mergeCell ref="F53:F55"/>
    <mergeCell ref="G46:G48"/>
    <mergeCell ref="G87:G88"/>
    <mergeCell ref="G72:G73"/>
    <mergeCell ref="H68:H69"/>
    <mergeCell ref="G70:G71"/>
    <mergeCell ref="F49:F52"/>
    <mergeCell ref="G49:G52"/>
    <mergeCell ref="H49:H52"/>
    <mergeCell ref="H40:H42"/>
    <mergeCell ref="H65:H67"/>
    <mergeCell ref="F76:F77"/>
    <mergeCell ref="G61:G62"/>
    <mergeCell ref="F61:F62"/>
    <mergeCell ref="H61:H62"/>
    <mergeCell ref="F72:F73"/>
    <mergeCell ref="U56:U57"/>
    <mergeCell ref="J32:J34"/>
    <mergeCell ref="H32:H34"/>
    <mergeCell ref="K32:K34"/>
    <mergeCell ref="N32:N34"/>
    <mergeCell ref="N46:N48"/>
    <mergeCell ref="Q46:Q48"/>
    <mergeCell ref="O43:O45"/>
    <mergeCell ref="K43:K45"/>
    <mergeCell ref="K40:K42"/>
    <mergeCell ref="K46:K48"/>
    <mergeCell ref="Q43:Q45"/>
    <mergeCell ref="H46:H48"/>
    <mergeCell ref="N53:N55"/>
    <mergeCell ref="J40:J42"/>
    <mergeCell ref="N40:N42"/>
    <mergeCell ref="J43:J45"/>
    <mergeCell ref="Q32:Q34"/>
    <mergeCell ref="T32:T34"/>
    <mergeCell ref="U32:U34"/>
    <mergeCell ref="U43:U45"/>
    <mergeCell ref="T46:T48"/>
    <mergeCell ref="I49:I52"/>
    <mergeCell ref="J49:J52"/>
    <mergeCell ref="F32:F34"/>
    <mergeCell ref="G32:G34"/>
    <mergeCell ref="V36:V37"/>
    <mergeCell ref="F40:F42"/>
    <mergeCell ref="G40:G42"/>
    <mergeCell ref="F43:F45"/>
    <mergeCell ref="F46:F48"/>
    <mergeCell ref="U46:U48"/>
    <mergeCell ref="P32:P34"/>
    <mergeCell ref="P40:P42"/>
    <mergeCell ref="R40:R42"/>
    <mergeCell ref="S40:S42"/>
    <mergeCell ref="R43:R45"/>
    <mergeCell ref="S43:S45"/>
    <mergeCell ref="R46:R48"/>
    <mergeCell ref="S46:S48"/>
    <mergeCell ref="Q40:Q42"/>
    <mergeCell ref="T40:T42"/>
    <mergeCell ref="O32:O34"/>
    <mergeCell ref="V40:V42"/>
    <mergeCell ref="J46:J48"/>
    <mergeCell ref="L46:L48"/>
    <mergeCell ref="I40:I42"/>
    <mergeCell ref="I43:I45"/>
    <mergeCell ref="O49:O51"/>
    <mergeCell ref="O53:O55"/>
    <mergeCell ref="L74:L75"/>
    <mergeCell ref="K68:K69"/>
    <mergeCell ref="L72:L73"/>
    <mergeCell ref="M74:M75"/>
    <mergeCell ref="M53:M55"/>
    <mergeCell ref="K49:K52"/>
    <mergeCell ref="L49:L52"/>
    <mergeCell ref="N49:N52"/>
    <mergeCell ref="K70:K71"/>
    <mergeCell ref="O63:O64"/>
    <mergeCell ref="P53:P55"/>
    <mergeCell ref="O56:O57"/>
    <mergeCell ref="P49:P52"/>
    <mergeCell ref="P56:P57"/>
    <mergeCell ref="I63:I64"/>
    <mergeCell ref="I65:I67"/>
    <mergeCell ref="N82:N86"/>
    <mergeCell ref="I82:I86"/>
    <mergeCell ref="I68:I69"/>
    <mergeCell ref="I70:I71"/>
    <mergeCell ref="I72:I73"/>
    <mergeCell ref="I74:I75"/>
    <mergeCell ref="K78:K81"/>
    <mergeCell ref="L76:L77"/>
    <mergeCell ref="L78:L81"/>
    <mergeCell ref="M68:M69"/>
    <mergeCell ref="M70:M71"/>
    <mergeCell ref="M72:M73"/>
    <mergeCell ref="N76:N77"/>
    <mergeCell ref="N65:N67"/>
    <mergeCell ref="N70:N71"/>
    <mergeCell ref="J63:J64"/>
    <mergeCell ref="L53:L55"/>
    <mergeCell ref="L56:L57"/>
    <mergeCell ref="T56:T57"/>
    <mergeCell ref="O65:O67"/>
    <mergeCell ref="T70:T71"/>
    <mergeCell ref="K58:K60"/>
    <mergeCell ref="Q58:Q60"/>
    <mergeCell ref="K56:K57"/>
    <mergeCell ref="N56:N57"/>
    <mergeCell ref="L58:L60"/>
    <mergeCell ref="L61:L62"/>
    <mergeCell ref="L63:L64"/>
    <mergeCell ref="L70:L71"/>
    <mergeCell ref="M56:M57"/>
    <mergeCell ref="M58:M60"/>
    <mergeCell ref="M61:M62"/>
    <mergeCell ref="M63:M64"/>
    <mergeCell ref="M65:M67"/>
    <mergeCell ref="T65:T67"/>
    <mergeCell ref="S56:S57"/>
    <mergeCell ref="S58:S60"/>
    <mergeCell ref="T58:T60"/>
    <mergeCell ref="R56:R57"/>
    <mergeCell ref="P61:P62"/>
    <mergeCell ref="P63:P64"/>
    <mergeCell ref="U126:U127"/>
    <mergeCell ref="U119:U122"/>
    <mergeCell ref="U123:U125"/>
    <mergeCell ref="U112:U113"/>
    <mergeCell ref="Q123:Q125"/>
    <mergeCell ref="T123:T125"/>
    <mergeCell ref="R123:R125"/>
    <mergeCell ref="AH7:AH10"/>
    <mergeCell ref="AI7:AI10"/>
    <mergeCell ref="V17:V29"/>
    <mergeCell ref="T49:T51"/>
    <mergeCell ref="U49:U51"/>
    <mergeCell ref="U17:U21"/>
    <mergeCell ref="T11:T13"/>
    <mergeCell ref="V32:V34"/>
    <mergeCell ref="V49:V51"/>
    <mergeCell ref="U40:U42"/>
    <mergeCell ref="V102:V104"/>
    <mergeCell ref="V105:V106"/>
    <mergeCell ref="V89:V96"/>
    <mergeCell ref="V43:V45"/>
    <mergeCell ref="V46:V48"/>
    <mergeCell ref="V53:V55"/>
    <mergeCell ref="V56:V57"/>
    <mergeCell ref="AJ7:AJ10"/>
    <mergeCell ref="AK7:AK10"/>
    <mergeCell ref="AG6:AK6"/>
    <mergeCell ref="E11:E39"/>
    <mergeCell ref="P102:P104"/>
    <mergeCell ref="O123:O125"/>
    <mergeCell ref="P123:P125"/>
    <mergeCell ref="F36:F39"/>
    <mergeCell ref="H36:H39"/>
    <mergeCell ref="I36:I39"/>
    <mergeCell ref="J36:J39"/>
    <mergeCell ref="K36:K39"/>
    <mergeCell ref="L82:L86"/>
    <mergeCell ref="L87:L88"/>
    <mergeCell ref="L89:L96"/>
    <mergeCell ref="I112:I113"/>
    <mergeCell ref="I114:I116"/>
    <mergeCell ref="I53:I55"/>
    <mergeCell ref="I56:I57"/>
    <mergeCell ref="I58:I60"/>
    <mergeCell ref="I61:I62"/>
    <mergeCell ref="K109:K111"/>
    <mergeCell ref="Q49:Q52"/>
    <mergeCell ref="AG7:AG10"/>
    <mergeCell ref="I46:I48"/>
    <mergeCell ref="L32:L34"/>
    <mergeCell ref="I23:I24"/>
    <mergeCell ref="I32:I34"/>
    <mergeCell ref="I27:I28"/>
    <mergeCell ref="I29:I30"/>
    <mergeCell ref="I25:I26"/>
    <mergeCell ref="P43:P45"/>
    <mergeCell ref="O46:O48"/>
    <mergeCell ref="P46:P48"/>
    <mergeCell ref="M43:M45"/>
    <mergeCell ref="M46:M48"/>
    <mergeCell ref="L40:L42"/>
    <mergeCell ref="L43:L45"/>
    <mergeCell ref="O40:O42"/>
    <mergeCell ref="N43:N45"/>
  </mergeCells>
  <conditionalFormatting sqref="P11:P13">
    <cfRule type="cellIs" dxfId="65" priority="94" operator="lessThanOrEqual">
      <formula>$P$132</formula>
    </cfRule>
    <cfRule type="cellIs" dxfId="64" priority="95" operator="between">
      <formula>$N$132</formula>
      <formula>$O$132</formula>
    </cfRule>
    <cfRule type="cellIs" dxfId="63" priority="96" operator="greaterThanOrEqual">
      <formula>$K$132</formula>
    </cfRule>
  </conditionalFormatting>
  <conditionalFormatting sqref="P14:P16">
    <cfRule type="cellIs" dxfId="62" priority="91" operator="lessThanOrEqual">
      <formula>$P$133</formula>
    </cfRule>
    <cfRule type="cellIs" dxfId="61" priority="92" operator="between">
      <formula>$N$133</formula>
      <formula>$O$133</formula>
    </cfRule>
    <cfRule type="cellIs" dxfId="60" priority="93" operator="greaterThanOrEqual">
      <formula>$K$133</formula>
    </cfRule>
  </conditionalFormatting>
  <conditionalFormatting sqref="P19 P21 P23 P27 P29 P35">
    <cfRule type="cellIs" dxfId="59" priority="85" operator="lessThanOrEqual">
      <formula>$P$132</formula>
    </cfRule>
    <cfRule type="cellIs" dxfId="58" priority="86" operator="between">
      <formula>$N$132</formula>
      <formula>$O$132</formula>
    </cfRule>
    <cfRule type="cellIs" dxfId="57" priority="87" operator="greaterThanOrEqual">
      <formula>$K$132</formula>
    </cfRule>
  </conditionalFormatting>
  <conditionalFormatting sqref="P17:P30 P35">
    <cfRule type="cellIs" dxfId="56" priority="127" operator="lessThanOrEqual">
      <formula>$P$134</formula>
    </cfRule>
    <cfRule type="cellIs" dxfId="55" priority="128" operator="between">
      <formula>$N$134</formula>
      <formula>$O$134</formula>
    </cfRule>
    <cfRule type="cellIs" dxfId="54" priority="129" operator="greaterThanOrEqual">
      <formula>$K$134</formula>
    </cfRule>
  </conditionalFormatting>
  <conditionalFormatting sqref="P20 P28 P30:P31 P24:P26">
    <cfRule type="cellIs" dxfId="53" priority="79" operator="lessThanOrEqual">
      <formula>$P$135</formula>
    </cfRule>
    <cfRule type="cellIs" dxfId="52" priority="80" operator="between">
      <formula>$N$135</formula>
      <formula>$O$135</formula>
    </cfRule>
    <cfRule type="cellIs" dxfId="51" priority="81" operator="greaterThanOrEqual">
      <formula>$K$135</formula>
    </cfRule>
  </conditionalFormatting>
  <conditionalFormatting sqref="P32:P34 P58:P60">
    <cfRule type="cellIs" dxfId="50" priority="69" operator="lessThanOrEqual">
      <formula>$P$131</formula>
    </cfRule>
    <cfRule type="cellIs" dxfId="49" priority="71" operator="between">
      <formula>$N$131</formula>
      <formula>$O$131</formula>
    </cfRule>
    <cfRule type="cellIs" dxfId="48" priority="72" operator="greaterThanOrEqual">
      <formula>$K$131</formula>
    </cfRule>
  </conditionalFormatting>
  <conditionalFormatting sqref="O131">
    <cfRule type="cellIs" dxfId="47" priority="70" operator="lessThanOrEqual">
      <formula>$P$131</formula>
    </cfRule>
  </conditionalFormatting>
  <conditionalFormatting sqref="P40:P45">
    <cfRule type="cellIs" dxfId="46" priority="55" operator="greaterThanOrEqual">
      <formula>$P$136</formula>
    </cfRule>
    <cfRule type="cellIs" dxfId="45" priority="56" operator="lessThanOrEqual">
      <formula>$K$136</formula>
    </cfRule>
  </conditionalFormatting>
  <conditionalFormatting sqref="P43:P45">
    <cfRule type="cellIs" dxfId="44" priority="53" operator="greaterThanOrEqual">
      <formula>$P$137</formula>
    </cfRule>
    <cfRule type="cellIs" dxfId="43" priority="54" operator="lessThanOrEqual">
      <formula>$K$137</formula>
    </cfRule>
  </conditionalFormatting>
  <conditionalFormatting sqref="P82:P86">
    <cfRule type="cellIs" dxfId="42" priority="36" operator="equal">
      <formula>$P$142</formula>
    </cfRule>
    <cfRule type="cellIs" dxfId="41" priority="52" operator="greaterThanOrEqual">
      <formula>$K$131</formula>
    </cfRule>
  </conditionalFormatting>
  <conditionalFormatting sqref="P56:P57">
    <cfRule type="cellIs" dxfId="40" priority="49" operator="lessThanOrEqual">
      <formula>$P$138</formula>
    </cfRule>
    <cfRule type="cellIs" dxfId="39" priority="50" operator="between">
      <formula>$N$138</formula>
      <formula>$O$138</formula>
    </cfRule>
    <cfRule type="cellIs" dxfId="38" priority="51" operator="greaterThanOrEqual">
      <formula>$K$138</formula>
    </cfRule>
  </conditionalFormatting>
  <conditionalFormatting sqref="P65:P67">
    <cfRule type="cellIs" dxfId="37" priority="44" operator="lessThanOrEqual">
      <formula>$P$139</formula>
    </cfRule>
    <cfRule type="cellIs" dxfId="36" priority="45" operator="greaterThanOrEqual">
      <formula>$K$139</formula>
    </cfRule>
  </conditionalFormatting>
  <conditionalFormatting sqref="P68:P69">
    <cfRule type="cellIs" dxfId="35" priority="41" operator="lessThanOrEqual">
      <formula>$P$140</formula>
    </cfRule>
    <cfRule type="cellIs" dxfId="34" priority="42" operator="between">
      <formula>$N$140</formula>
      <formula>$O$140</formula>
    </cfRule>
    <cfRule type="cellIs" dxfId="33" priority="43" operator="greaterThanOrEqual">
      <formula>$K$140</formula>
    </cfRule>
  </conditionalFormatting>
  <conditionalFormatting sqref="P72:P73">
    <cfRule type="cellIs" dxfId="32" priority="38" operator="lessThanOrEqual">
      <formula>$P$141</formula>
    </cfRule>
    <cfRule type="cellIs" dxfId="31" priority="39" operator="between">
      <formula>$N$141</formula>
      <formula>$O$141</formula>
    </cfRule>
    <cfRule type="cellIs" dxfId="30" priority="40" operator="greaterThanOrEqual">
      <formula>$K$141</formula>
    </cfRule>
  </conditionalFormatting>
  <conditionalFormatting sqref="P87:P88">
    <cfRule type="cellIs" dxfId="29" priority="33" operator="lessThanOrEqual">
      <formula>$P$143</formula>
    </cfRule>
    <cfRule type="cellIs" dxfId="28" priority="34" operator="between">
      <formula>$N$143</formula>
      <formula>$O$143</formula>
    </cfRule>
    <cfRule type="cellIs" dxfId="27" priority="35" operator="greaterThanOrEqual">
      <formula>$K$143</formula>
    </cfRule>
  </conditionalFormatting>
  <conditionalFormatting sqref="P97:P98">
    <cfRule type="cellIs" dxfId="26" priority="30" operator="lessThanOrEqual">
      <formula>$P$144</formula>
    </cfRule>
    <cfRule type="cellIs" dxfId="25" priority="31" operator="between">
      <formula>$N$143</formula>
      <formula>$O$144</formula>
    </cfRule>
    <cfRule type="cellIs" dxfId="24" priority="32" operator="greaterThanOrEqual">
      <formula>$K$144</formula>
    </cfRule>
  </conditionalFormatting>
  <conditionalFormatting sqref="P99:P101">
    <cfRule type="cellIs" dxfId="23" priority="27" operator="greaterThanOrEqual">
      <formula>$K$145</formula>
    </cfRule>
    <cfRule type="cellIs" dxfId="22" priority="28" operator="between">
      <formula>$N$145</formula>
      <formula>$O$145</formula>
    </cfRule>
    <cfRule type="cellIs" dxfId="21" priority="29" operator="lessThanOrEqual">
      <formula>$P$145</formula>
    </cfRule>
  </conditionalFormatting>
  <conditionalFormatting sqref="P102:P104">
    <cfRule type="cellIs" dxfId="20" priority="25" operator="lessThanOrEqual">
      <formula>$K$146</formula>
    </cfRule>
    <cfRule type="cellIs" dxfId="19" priority="26" operator="greaterThanOrEqual">
      <formula>$P$146</formula>
    </cfRule>
  </conditionalFormatting>
  <conditionalFormatting sqref="P105:P106">
    <cfRule type="cellIs" dxfId="18" priority="22" operator="lessThanOrEqual">
      <formula>$P$147</formula>
    </cfRule>
    <cfRule type="cellIs" dxfId="17" priority="23" operator="between">
      <formula>$N$147</formula>
      <formula>$O$147</formula>
    </cfRule>
    <cfRule type="cellIs" dxfId="16" priority="24" operator="greaterThanOrEqual">
      <formula>$K$147</formula>
    </cfRule>
  </conditionalFormatting>
  <conditionalFormatting sqref="P107:P111">
    <cfRule type="cellIs" dxfId="15" priority="19" operator="lessThanOrEqual">
      <formula>$P$148</formula>
    </cfRule>
    <cfRule type="cellIs" dxfId="14" priority="20" operator="between">
      <formula>$N$148</formula>
      <formula>$O$148</formula>
    </cfRule>
    <cfRule type="cellIs" dxfId="13" priority="21" operator="greaterThanOrEqual">
      <formula>$K$148</formula>
    </cfRule>
  </conditionalFormatting>
  <conditionalFormatting sqref="P114:P116">
    <cfRule type="cellIs" dxfId="12" priority="13" operator="lessThanOrEqual">
      <formula>$P$149</formula>
    </cfRule>
    <cfRule type="cellIs" dxfId="11" priority="14" operator="between">
      <formula>$N$149</formula>
      <formula>$O$149</formula>
    </cfRule>
    <cfRule type="cellIs" dxfId="10" priority="15" operator="greaterThanOrEqual">
      <formula>$K$149</formula>
    </cfRule>
  </conditionalFormatting>
  <conditionalFormatting sqref="P117:P118">
    <cfRule type="cellIs" dxfId="9" priority="11" operator="lessThanOrEqual">
      <formula>$K$150</formula>
    </cfRule>
    <cfRule type="cellIs" dxfId="8" priority="12" operator="greaterThanOrEqual">
      <formula>$P$150</formula>
    </cfRule>
  </conditionalFormatting>
  <conditionalFormatting sqref="P119:P122">
    <cfRule type="cellIs" dxfId="7" priority="8" operator="lessThanOrEqual">
      <formula>$P$151</formula>
    </cfRule>
    <cfRule type="cellIs" dxfId="6" priority="9" operator="between">
      <formula>$N$151</formula>
      <formula>$O$151</formula>
    </cfRule>
    <cfRule type="cellIs" dxfId="5" priority="10" operator="greaterThanOrEqual">
      <formula>$K$151</formula>
    </cfRule>
  </conditionalFormatting>
  <conditionalFormatting sqref="P36:P39">
    <cfRule type="cellIs" dxfId="4" priority="6" operator="lessThanOrEqual">
      <formula>$K$152</formula>
    </cfRule>
    <cfRule type="cellIs" dxfId="3" priority="7" operator="greaterThanOrEqual">
      <formula>$P$152</formula>
    </cfRule>
  </conditionalFormatting>
  <conditionalFormatting sqref="S32:S34">
    <cfRule type="cellIs" dxfId="2" priority="1" operator="lessThanOrEqual">
      <formula>$P$131</formula>
    </cfRule>
    <cfRule type="cellIs" dxfId="1" priority="2" operator="between">
      <formula>$N$131</formula>
      <formula>$O$131</formula>
    </cfRule>
    <cfRule type="cellIs" dxfId="0" priority="3" operator="greaterThanOrEqual">
      <formula>$K$131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261" scale="35" orientation="landscape" r:id="rId1"/>
  <rowBreaks count="4" manualBreakCount="4">
    <brk id="39" max="17" man="1"/>
    <brk id="64" max="16383" man="1"/>
    <brk id="88" max="17" man="1"/>
    <brk id="113" max="17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 2018</vt:lpstr>
      <vt:lpstr>'POA 2018'!Área_de_impresión</vt:lpstr>
      <vt:lpstr>'POA 2018'!Títulos_a_imprimir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Planeacion</dc:creator>
  <cp:lastModifiedBy>022-desint-304</cp:lastModifiedBy>
  <cp:lastPrinted>2018-02-20T22:15:56Z</cp:lastPrinted>
  <dcterms:created xsi:type="dcterms:W3CDTF">2017-12-11T13:42:53Z</dcterms:created>
  <dcterms:modified xsi:type="dcterms:W3CDTF">2018-08-21T22:28:08Z</dcterms:modified>
</cp:coreProperties>
</file>